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N:\Product Management\Platform\Projects\2023-03 Pathfinder Replacement\Roddy Tool\"/>
    </mc:Choice>
  </mc:AlternateContent>
  <xr:revisionPtr revIDLastSave="0" documentId="13_ncr:1_{6FAC0BBD-C27E-4AAF-89E8-68D4FBEF1773}" xr6:coauthVersionLast="47" xr6:coauthVersionMax="47" xr10:uidLastSave="{00000000-0000-0000-0000-000000000000}"/>
  <workbookProtection workbookAlgorithmName="SHA-512" workbookHashValue="hwSYFaCrDPec4teyn/83WWMka/rxbd4g0uInFfjl02/hSGkpmF/I3qX7NR0gte9MDCbHelf0ukZWUJGzAymY/g==" workbookSaltValue="iAgYwg23dfkiaxtcxGYcDg==" workbookSpinCount="100000" lockStructure="1"/>
  <bookViews>
    <workbookView showSheetTabs="0" xWindow="-108" yWindow="-108" windowWidth="41496" windowHeight="16776" xr2:uid="{00000000-000D-0000-FFFF-FFFF00000000}"/>
  </bookViews>
  <sheets>
    <sheet name="Intro" sheetId="14" r:id="rId1"/>
    <sheet name="Calcs" sheetId="7" r:id="rId2"/>
    <sheet name="Tax" sheetId="8" state="hidden" r:id="rId3"/>
    <sheet name="Working" sheetId="9" state="hidden" r:id="rId4"/>
    <sheet name="ONS" sheetId="12" state="hidden" r:id="rId5"/>
    <sheet name="Version Control" sheetId="6" state="hidden" r:id="rId6"/>
    <sheet name="Todo " sheetId="13" state="hidden" r:id="rId7"/>
  </sheets>
  <definedNames>
    <definedName name="BondGain">Calcs!$K$25</definedName>
    <definedName name="Cashgrowth">Calcs!$C$34</definedName>
    <definedName name="CashVal">Calcs!$C$20</definedName>
    <definedName name="CIAVal">Calcs!$C$22</definedName>
    <definedName name="CIBVal">Calcs!$C$23</definedName>
    <definedName name="CPI">Calcs!$C$32</definedName>
    <definedName name="Gender1">Calcs!$C$15</definedName>
    <definedName name="Gender2">Calcs!$C$17</definedName>
    <definedName name="GrsGrth">Calcs!$C$35</definedName>
    <definedName name="Housegrowth">Calcs!$C$33</definedName>
    <definedName name="HouseVal">Calcs!$C$19</definedName>
    <definedName name="IHT">Working!$B$11</definedName>
    <definedName name="IHTinflateyr">Calcs!$C$37</definedName>
    <definedName name="ISAval">Calcs!$C$21</definedName>
    <definedName name="L1Delay">Calcs!$F$22</definedName>
    <definedName name="L1INC">Calcs!$F$23</definedName>
    <definedName name="L1INCP">Working!$B$21</definedName>
    <definedName name="L1PCLS">Calcs!$F$15</definedName>
    <definedName name="L1PenVal">Calcs!$C$25</definedName>
    <definedName name="L1WD">Calcs!$F$21</definedName>
    <definedName name="L2Delay">Calcs!$F$25</definedName>
    <definedName name="L2INC">Calcs!$F$26</definedName>
    <definedName name="L2INCP">Working!$B$22</definedName>
    <definedName name="L2PCLS">Calcs!$F$16</definedName>
    <definedName name="L2PenVal">Calcs!$C$26</definedName>
    <definedName name="L2WD">Calcs!$F$24</definedName>
    <definedName name="Life1Age">Calcs!$C$14</definedName>
    <definedName name="Life2Age">Calcs!$C$16</definedName>
    <definedName name="LifeExpect">Calcs!$C$18</definedName>
    <definedName name="Lineal">Calcs!$C$31</definedName>
    <definedName name="NetGrth">Calcs!$C$36</definedName>
    <definedName name="NRB">Working!$B$12</definedName>
    <definedName name="OtherVal">Calcs!$C$24</definedName>
    <definedName name="OWrite">Calcs!$C$28</definedName>
    <definedName name="Prefterm">Calcs!$C$29</definedName>
    <definedName name="_xlnm.Print_Area" localSheetId="1">Calcs!$A$2:$O$77</definedName>
    <definedName name="ProjTerm">Tax!$J$10</definedName>
    <definedName name="REF">Calcs!$C$12</definedName>
    <definedName name="RNRB">Working!$B$10</definedName>
    <definedName name="RNRBTaper">Working!$B$13</definedName>
    <definedName name="SAR">Tax!$D$27</definedName>
    <definedName name="Sart">Tax!$B$27</definedName>
    <definedName name="SBR">Tax!$D$24</definedName>
    <definedName name="SBRT">Tax!$B$24</definedName>
    <definedName name="SCIT">Calcs!$C$30</definedName>
    <definedName name="SHR">Tax!$D$26</definedName>
    <definedName name="SHRT">Tax!$B$26</definedName>
    <definedName name="SingJt">Calcs!$C$13</definedName>
    <definedName name="SIR">Tax!$D$25</definedName>
    <definedName name="SIRT">Tax!$B$25</definedName>
    <definedName name="SPA">Tax!$D$21</definedName>
    <definedName name="SSR">Tax!$D$23</definedName>
    <definedName name="SSRT">Tax!$B$23</definedName>
    <definedName name="STAP">Tax!$D$34</definedName>
    <definedName name="STRT">Tax!$B$28</definedName>
    <definedName name="YEAR">Working!$B$16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7" l="1"/>
  <c r="K11" i="7"/>
  <c r="Q2" i="9" s="1"/>
  <c r="J11" i="7"/>
  <c r="P2" i="9" s="1"/>
  <c r="B22" i="9"/>
  <c r="B21" i="9"/>
  <c r="B17" i="9" a="1"/>
  <c r="B17" i="9" s="1"/>
  <c r="I27" i="7"/>
  <c r="C36" i="7"/>
  <c r="AK6" i="9"/>
  <c r="AJ2" i="9"/>
  <c r="AI2" i="9"/>
  <c r="AH2" i="9"/>
  <c r="AG2" i="9"/>
  <c r="AF6" i="9"/>
  <c r="AH6" i="9" s="1"/>
  <c r="AE6" i="9"/>
  <c r="AI6" i="9" s="1"/>
  <c r="E26" i="7"/>
  <c r="E25" i="7"/>
  <c r="O9" i="9"/>
  <c r="O10" i="9"/>
  <c r="B18" i="9" l="1" a="1"/>
  <c r="B18" i="9" s="1"/>
  <c r="AJ6" i="9"/>
  <c r="I36" i="7"/>
  <c r="E37" i="7"/>
  <c r="E22" i="7"/>
  <c r="B17" i="7"/>
  <c r="B16" i="7"/>
  <c r="B18" i="7"/>
  <c r="AF5" i="9" l="1"/>
  <c r="AE5" i="9"/>
  <c r="B29" i="7"/>
  <c r="E16" i="7"/>
  <c r="Q22" i="8"/>
  <c r="AA22" i="8"/>
  <c r="A3" i="8"/>
  <c r="AK7" i="9"/>
  <c r="AK8" i="9" s="1"/>
  <c r="AK9" i="9" s="1"/>
  <c r="AK10" i="9" s="1"/>
  <c r="AK11" i="9" s="1"/>
  <c r="AK12" i="9" s="1"/>
  <c r="AK13" i="9" s="1"/>
  <c r="AA7" i="9"/>
  <c r="V3" i="9"/>
  <c r="AA8" i="9" l="1"/>
  <c r="AK14" i="9"/>
  <c r="AK15" i="9" s="1"/>
  <c r="AK16" i="9" s="1"/>
  <c r="AK17" i="9" s="1"/>
  <c r="AK18" i="9" s="1"/>
  <c r="AK19" i="9" s="1"/>
  <c r="AK20" i="9" s="1"/>
  <c r="AK21" i="9" s="1"/>
  <c r="AK22" i="9" s="1"/>
  <c r="AK23" i="9" s="1"/>
  <c r="AK24" i="9" s="1"/>
  <c r="AK25" i="9" s="1"/>
  <c r="AK26" i="9" s="1"/>
  <c r="AK27" i="9" s="1"/>
  <c r="AK28" i="9" s="1"/>
  <c r="AK29" i="9" s="1"/>
  <c r="AK30" i="9" s="1"/>
  <c r="AK31" i="9" s="1"/>
  <c r="AK32" i="9" s="1"/>
  <c r="AK33" i="9" s="1"/>
  <c r="AK34" i="9" s="1"/>
  <c r="AK35" i="9" s="1"/>
  <c r="AK36" i="9" s="1"/>
  <c r="AK37" i="9" s="1"/>
  <c r="AK38" i="9" s="1"/>
  <c r="AK39" i="9" s="1"/>
  <c r="AK40" i="9" s="1"/>
  <c r="AK41" i="9" s="1"/>
  <c r="AK42" i="9" s="1"/>
  <c r="AK43" i="9" s="1"/>
  <c r="AK44" i="9" s="1"/>
  <c r="AK45" i="9" s="1"/>
  <c r="AK46" i="9" s="1"/>
  <c r="AK47" i="9" s="1"/>
  <c r="AK48" i="9" s="1"/>
  <c r="AK49" i="9" s="1"/>
  <c r="AK50" i="9" s="1"/>
  <c r="AK51" i="9" s="1"/>
  <c r="AK52" i="9" s="1"/>
  <c r="AK53" i="9" s="1"/>
  <c r="AK54" i="9" s="1"/>
  <c r="AK55" i="9" s="1"/>
  <c r="AK56" i="9" s="1"/>
  <c r="AK57" i="9" s="1"/>
  <c r="AK58" i="9" s="1"/>
  <c r="AK59" i="9" s="1"/>
  <c r="AK60" i="9" s="1"/>
  <c r="AK61" i="9" s="1"/>
  <c r="AA9" i="9" l="1"/>
  <c r="H4" i="12"/>
  <c r="H3" i="12"/>
  <c r="G12" i="12" s="1"/>
  <c r="D4" i="12"/>
  <c r="D3" i="12"/>
  <c r="C12" i="12" s="1"/>
  <c r="B13" i="12"/>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B103" i="12" s="1"/>
  <c r="B104" i="12" s="1"/>
  <c r="B105" i="12" s="1"/>
  <c r="B106" i="12" s="1"/>
  <c r="B107" i="12" s="1"/>
  <c r="B108" i="12" s="1"/>
  <c r="B109" i="12" s="1"/>
  <c r="J12" i="12"/>
  <c r="F12" i="12"/>
  <c r="K12" i="12" s="1"/>
  <c r="L12" i="12" s="1"/>
  <c r="AA10" i="9" l="1"/>
  <c r="E12" i="12"/>
  <c r="I12" i="12"/>
  <c r="C13" i="12"/>
  <c r="E13" i="12" s="1"/>
  <c r="G13" i="12"/>
  <c r="I13" i="12" s="1"/>
  <c r="J8" i="8"/>
  <c r="J7" i="8"/>
  <c r="F38" i="7" s="1"/>
  <c r="I6" i="8"/>
  <c r="J5" i="8"/>
  <c r="J4" i="8"/>
  <c r="F35" i="7" s="1"/>
  <c r="AA11" i="9" l="1"/>
  <c r="F36" i="7"/>
  <c r="J6" i="8"/>
  <c r="F37" i="7" s="1"/>
  <c r="K8" i="8"/>
  <c r="G39" i="7" s="1"/>
  <c r="F39" i="7"/>
  <c r="C14" i="12"/>
  <c r="E14" i="12" s="1"/>
  <c r="H13" i="12"/>
  <c r="G14" i="12"/>
  <c r="I14" i="12" s="1"/>
  <c r="AA12" i="9" l="1"/>
  <c r="J13" i="12"/>
  <c r="C15" i="12"/>
  <c r="E15" i="12" s="1"/>
  <c r="H14" i="12"/>
  <c r="J14" i="12" s="1"/>
  <c r="G15" i="12"/>
  <c r="I15" i="12" s="1"/>
  <c r="AA13" i="9" l="1"/>
  <c r="C16" i="12"/>
  <c r="E16" i="12" s="1"/>
  <c r="G16" i="12"/>
  <c r="I16" i="12" s="1"/>
  <c r="H15" i="12"/>
  <c r="J15" i="12" s="1"/>
  <c r="AA14" i="9" l="1"/>
  <c r="C17" i="12"/>
  <c r="E17" i="12" s="1"/>
  <c r="G17" i="12"/>
  <c r="I17" i="12" s="1"/>
  <c r="H16" i="12"/>
  <c r="J16" i="12" s="1"/>
  <c r="AA15" i="9" l="1"/>
  <c r="C18" i="12"/>
  <c r="E18" i="12" s="1"/>
  <c r="G18" i="12"/>
  <c r="I18" i="12" s="1"/>
  <c r="H17" i="12"/>
  <c r="J17" i="12" l="1"/>
  <c r="AA16" i="9"/>
  <c r="C19" i="12"/>
  <c r="E19" i="12" s="1"/>
  <c r="G19" i="12"/>
  <c r="I19" i="12" s="1"/>
  <c r="H18" i="12"/>
  <c r="J18" i="12" s="1"/>
  <c r="AA17" i="9" l="1"/>
  <c r="C20" i="12"/>
  <c r="E20" i="12" s="1"/>
  <c r="G20" i="12"/>
  <c r="I20" i="12" s="1"/>
  <c r="H19" i="12"/>
  <c r="J19" i="12" s="1"/>
  <c r="AA18" i="9" l="1"/>
  <c r="C21" i="12"/>
  <c r="E21" i="12" s="1"/>
  <c r="G21" i="12"/>
  <c r="I21" i="12" s="1"/>
  <c r="H20" i="12"/>
  <c r="J20" i="12" s="1"/>
  <c r="AA19" i="9" l="1"/>
  <c r="C22" i="12"/>
  <c r="E22" i="12" s="1"/>
  <c r="G22" i="12"/>
  <c r="I22" i="12" s="1"/>
  <c r="H21" i="12"/>
  <c r="J21" i="12" s="1"/>
  <c r="AA20" i="9" l="1"/>
  <c r="C23" i="12"/>
  <c r="E23" i="12" s="1"/>
  <c r="G23" i="12"/>
  <c r="I23" i="12" s="1"/>
  <c r="H22" i="12"/>
  <c r="J22" i="12" s="1"/>
  <c r="AA21" i="9" l="1"/>
  <c r="C24" i="12"/>
  <c r="E24" i="12" s="1"/>
  <c r="G24" i="12"/>
  <c r="I24" i="12" s="1"/>
  <c r="H23" i="12"/>
  <c r="J23" i="12" s="1"/>
  <c r="AA22" i="9" l="1"/>
  <c r="C25" i="12"/>
  <c r="E25" i="12" s="1"/>
  <c r="G25" i="12"/>
  <c r="I25" i="12" s="1"/>
  <c r="H24" i="12"/>
  <c r="J24" i="12" s="1"/>
  <c r="AA23" i="9" l="1"/>
  <c r="C26" i="12"/>
  <c r="E26" i="12" s="1"/>
  <c r="G26" i="12"/>
  <c r="I26" i="12" s="1"/>
  <c r="H25" i="12"/>
  <c r="J25" i="12" s="1"/>
  <c r="AA24" i="9" l="1"/>
  <c r="C27" i="12"/>
  <c r="E27" i="12" s="1"/>
  <c r="G27" i="12"/>
  <c r="I27" i="12" s="1"/>
  <c r="H26" i="12"/>
  <c r="J26" i="12" s="1"/>
  <c r="AA25" i="9" l="1"/>
  <c r="C28" i="12"/>
  <c r="E28" i="12" s="1"/>
  <c r="G28" i="12"/>
  <c r="I28" i="12" s="1"/>
  <c r="H27" i="12"/>
  <c r="J27" i="12" s="1"/>
  <c r="AA26" i="9" l="1"/>
  <c r="C29" i="12"/>
  <c r="E29" i="12" s="1"/>
  <c r="G29" i="12"/>
  <c r="I29" i="12" s="1"/>
  <c r="H28" i="12"/>
  <c r="J28" i="12" s="1"/>
  <c r="AA27" i="9" l="1"/>
  <c r="C30" i="12"/>
  <c r="E30" i="12" s="1"/>
  <c r="G30" i="12"/>
  <c r="I30" i="12" s="1"/>
  <c r="H29" i="12"/>
  <c r="J29" i="12" s="1"/>
  <c r="AA28" i="9" l="1"/>
  <c r="C31" i="12"/>
  <c r="E31" i="12" s="1"/>
  <c r="G31" i="12"/>
  <c r="I31" i="12" s="1"/>
  <c r="H30" i="12"/>
  <c r="J30" i="12" s="1"/>
  <c r="AA29" i="9" l="1"/>
  <c r="C32" i="12"/>
  <c r="E32" i="12" s="1"/>
  <c r="G32" i="12"/>
  <c r="I32" i="12" s="1"/>
  <c r="H31" i="12"/>
  <c r="J31" i="12" s="1"/>
  <c r="AA30" i="9" l="1"/>
  <c r="C33" i="12"/>
  <c r="E33" i="12" s="1"/>
  <c r="G33" i="12"/>
  <c r="I33" i="12" s="1"/>
  <c r="H32" i="12"/>
  <c r="J32" i="12" s="1"/>
  <c r="AA31" i="9" l="1"/>
  <c r="C34" i="12"/>
  <c r="E34" i="12" s="1"/>
  <c r="G34" i="12"/>
  <c r="I34" i="12" s="1"/>
  <c r="H33" i="12"/>
  <c r="J33" i="12" s="1"/>
  <c r="AA32" i="9" l="1"/>
  <c r="C35" i="12"/>
  <c r="E35" i="12" s="1"/>
  <c r="G35" i="12"/>
  <c r="I35" i="12" s="1"/>
  <c r="H34" i="12"/>
  <c r="J34" i="12" s="1"/>
  <c r="AA33" i="9" l="1"/>
  <c r="C36" i="12"/>
  <c r="E36" i="12" s="1"/>
  <c r="G36" i="12"/>
  <c r="I36" i="12" s="1"/>
  <c r="H35" i="12"/>
  <c r="J35" i="12" s="1"/>
  <c r="AA34" i="9" l="1"/>
  <c r="C37" i="12"/>
  <c r="E37" i="12" s="1"/>
  <c r="G37" i="12"/>
  <c r="I37" i="12" s="1"/>
  <c r="H36" i="12"/>
  <c r="J36" i="12" s="1"/>
  <c r="AA35" i="9" l="1"/>
  <c r="C38" i="12"/>
  <c r="E38" i="12" s="1"/>
  <c r="G38" i="12"/>
  <c r="I38" i="12" s="1"/>
  <c r="H37" i="12"/>
  <c r="J37" i="12" s="1"/>
  <c r="AA36" i="9" l="1"/>
  <c r="C39" i="12"/>
  <c r="E39" i="12" s="1"/>
  <c r="G39" i="12"/>
  <c r="I39" i="12" s="1"/>
  <c r="H38" i="12"/>
  <c r="J38" i="12" s="1"/>
  <c r="AA37" i="9" l="1"/>
  <c r="C40" i="12"/>
  <c r="E40" i="12" s="1"/>
  <c r="G40" i="12"/>
  <c r="I40" i="12" s="1"/>
  <c r="H39" i="12"/>
  <c r="J39" i="12" s="1"/>
  <c r="AA38" i="9" l="1"/>
  <c r="C41" i="12"/>
  <c r="E41" i="12" s="1"/>
  <c r="G41" i="12"/>
  <c r="I41" i="12" s="1"/>
  <c r="H40" i="12"/>
  <c r="J40" i="12" s="1"/>
  <c r="AA39" i="9" l="1"/>
  <c r="C42" i="12"/>
  <c r="E42" i="12" s="1"/>
  <c r="G42" i="12"/>
  <c r="I42" i="12" s="1"/>
  <c r="H41" i="12"/>
  <c r="J41" i="12" s="1"/>
  <c r="AA40" i="9" l="1"/>
  <c r="C43" i="12"/>
  <c r="E43" i="12" s="1"/>
  <c r="G43" i="12"/>
  <c r="I43" i="12" s="1"/>
  <c r="H42" i="12"/>
  <c r="J42" i="12" s="1"/>
  <c r="AA41" i="9" l="1"/>
  <c r="C44" i="12"/>
  <c r="E44" i="12" s="1"/>
  <c r="G44" i="12"/>
  <c r="I44" i="12" s="1"/>
  <c r="H43" i="12"/>
  <c r="J43" i="12" s="1"/>
  <c r="AA42" i="9" l="1"/>
  <c r="C45" i="12"/>
  <c r="E45" i="12" s="1"/>
  <c r="G45" i="12"/>
  <c r="I45" i="12" s="1"/>
  <c r="H44" i="12"/>
  <c r="J44" i="12" s="1"/>
  <c r="AA43" i="9" l="1"/>
  <c r="C46" i="12"/>
  <c r="E46" i="12" s="1"/>
  <c r="G46" i="12"/>
  <c r="I46" i="12" s="1"/>
  <c r="H45" i="12"/>
  <c r="J45" i="12" s="1"/>
  <c r="AA44" i="9" l="1"/>
  <c r="C47" i="12"/>
  <c r="E47" i="12" s="1"/>
  <c r="G47" i="12"/>
  <c r="I47" i="12" s="1"/>
  <c r="H46" i="12"/>
  <c r="J46" i="12" s="1"/>
  <c r="AA45" i="9" l="1"/>
  <c r="C48" i="12"/>
  <c r="E48" i="12" s="1"/>
  <c r="G48" i="12"/>
  <c r="I48" i="12" s="1"/>
  <c r="H47" i="12"/>
  <c r="J47" i="12" s="1"/>
  <c r="AA46" i="9" l="1"/>
  <c r="C49" i="12"/>
  <c r="E49" i="12" s="1"/>
  <c r="G49" i="12"/>
  <c r="I49" i="12" s="1"/>
  <c r="H48" i="12"/>
  <c r="J48" i="12" s="1"/>
  <c r="AA47" i="9" l="1"/>
  <c r="C50" i="12"/>
  <c r="E50" i="12" s="1"/>
  <c r="G50" i="12"/>
  <c r="I50" i="12" s="1"/>
  <c r="H49" i="12"/>
  <c r="J49" i="12" s="1"/>
  <c r="AA48" i="9" l="1"/>
  <c r="C51" i="12"/>
  <c r="E51" i="12" s="1"/>
  <c r="G51" i="12"/>
  <c r="I51" i="12" s="1"/>
  <c r="H50" i="12"/>
  <c r="J50" i="12" s="1"/>
  <c r="AA49" i="9" l="1"/>
  <c r="C52" i="12"/>
  <c r="E52" i="12" s="1"/>
  <c r="G52" i="12"/>
  <c r="I52" i="12" s="1"/>
  <c r="H51" i="12"/>
  <c r="J51" i="12" s="1"/>
  <c r="AA50" i="9" l="1"/>
  <c r="C53" i="12"/>
  <c r="E53" i="12" s="1"/>
  <c r="G53" i="12"/>
  <c r="I53" i="12" s="1"/>
  <c r="H52" i="12"/>
  <c r="J52" i="12" s="1"/>
  <c r="AA51" i="9" l="1"/>
  <c r="C54" i="12"/>
  <c r="E54" i="12" s="1"/>
  <c r="G54" i="12"/>
  <c r="I54" i="12" s="1"/>
  <c r="H53" i="12"/>
  <c r="J53" i="12" s="1"/>
  <c r="AA52" i="9" l="1"/>
  <c r="C55" i="12"/>
  <c r="E55" i="12" s="1"/>
  <c r="G55" i="12"/>
  <c r="I55" i="12" s="1"/>
  <c r="H54" i="12"/>
  <c r="J54" i="12" s="1"/>
  <c r="AA53" i="9" l="1"/>
  <c r="C56" i="12"/>
  <c r="E56" i="12" s="1"/>
  <c r="G56" i="12"/>
  <c r="I56" i="12" s="1"/>
  <c r="H55" i="12"/>
  <c r="J55" i="12" s="1"/>
  <c r="AA54" i="9" l="1"/>
  <c r="C57" i="12"/>
  <c r="E57" i="12" s="1"/>
  <c r="G57" i="12"/>
  <c r="I57" i="12" s="1"/>
  <c r="H56" i="12"/>
  <c r="J56" i="12" s="1"/>
  <c r="AA55" i="9" l="1"/>
  <c r="C58" i="12"/>
  <c r="E58" i="12" s="1"/>
  <c r="G58" i="12"/>
  <c r="I58" i="12" s="1"/>
  <c r="H57" i="12"/>
  <c r="J57" i="12" s="1"/>
  <c r="AA56" i="9" l="1"/>
  <c r="C59" i="12"/>
  <c r="E59" i="12" s="1"/>
  <c r="G59" i="12"/>
  <c r="I59" i="12" s="1"/>
  <c r="H58" i="12"/>
  <c r="J58" i="12" s="1"/>
  <c r="AA57" i="9" l="1"/>
  <c r="C60" i="12"/>
  <c r="E60" i="12" s="1"/>
  <c r="G60" i="12"/>
  <c r="I60" i="12" s="1"/>
  <c r="H59" i="12"/>
  <c r="J59" i="12" s="1"/>
  <c r="AA58" i="9" l="1"/>
  <c r="C61" i="12"/>
  <c r="E61" i="12" s="1"/>
  <c r="G61" i="12"/>
  <c r="I61" i="12" s="1"/>
  <c r="H60" i="12"/>
  <c r="J60" i="12" s="1"/>
  <c r="AA59" i="9" l="1"/>
  <c r="C62" i="12"/>
  <c r="E62" i="12" s="1"/>
  <c r="G62" i="12"/>
  <c r="I62" i="12" s="1"/>
  <c r="H61" i="12"/>
  <c r="J61" i="12" s="1"/>
  <c r="AA60" i="9" l="1"/>
  <c r="C63" i="12"/>
  <c r="E63" i="12" s="1"/>
  <c r="G63" i="12"/>
  <c r="I63" i="12" s="1"/>
  <c r="H62" i="12"/>
  <c r="J62" i="12" s="1"/>
  <c r="AA61" i="9" l="1"/>
  <c r="C64" i="12"/>
  <c r="E64" i="12" s="1"/>
  <c r="G64" i="12"/>
  <c r="I64" i="12" s="1"/>
  <c r="H63" i="12"/>
  <c r="J63" i="12" s="1"/>
  <c r="C65" i="12" l="1"/>
  <c r="E65" i="12" s="1"/>
  <c r="G65" i="12"/>
  <c r="I65" i="12" s="1"/>
  <c r="H64" i="12"/>
  <c r="J64" i="12" s="1"/>
  <c r="C66" i="12" l="1"/>
  <c r="E66" i="12" s="1"/>
  <c r="G66" i="12"/>
  <c r="I66" i="12" s="1"/>
  <c r="H65" i="12"/>
  <c r="J65" i="12" s="1"/>
  <c r="C67" i="12" l="1"/>
  <c r="E67" i="12" s="1"/>
  <c r="G67" i="12"/>
  <c r="I67" i="12" s="1"/>
  <c r="H66" i="12"/>
  <c r="J66" i="12" s="1"/>
  <c r="C68" i="12" l="1"/>
  <c r="E68" i="12" s="1"/>
  <c r="G68" i="12"/>
  <c r="I68" i="12" s="1"/>
  <c r="H67" i="12"/>
  <c r="J67" i="12" s="1"/>
  <c r="C69" i="12" l="1"/>
  <c r="E69" i="12" s="1"/>
  <c r="G69" i="12"/>
  <c r="I69" i="12" s="1"/>
  <c r="H68" i="12"/>
  <c r="J68" i="12" s="1"/>
  <c r="C70" i="12" l="1"/>
  <c r="E70" i="12" s="1"/>
  <c r="G70" i="12"/>
  <c r="I70" i="12" s="1"/>
  <c r="H69" i="12"/>
  <c r="J69" i="12" s="1"/>
  <c r="C71" i="12" l="1"/>
  <c r="E71" i="12" s="1"/>
  <c r="G71" i="12"/>
  <c r="I71" i="12" s="1"/>
  <c r="H70" i="12"/>
  <c r="J70" i="12" s="1"/>
  <c r="C72" i="12" l="1"/>
  <c r="E72" i="12" s="1"/>
  <c r="G72" i="12"/>
  <c r="I72" i="12" s="1"/>
  <c r="H71" i="12"/>
  <c r="J71" i="12" s="1"/>
  <c r="C73" i="12" l="1"/>
  <c r="E73" i="12" s="1"/>
  <c r="G73" i="12"/>
  <c r="I73" i="12" s="1"/>
  <c r="H72" i="12"/>
  <c r="J72" i="12" s="1"/>
  <c r="C74" i="12" l="1"/>
  <c r="E74" i="12" s="1"/>
  <c r="G74" i="12"/>
  <c r="I74" i="12" s="1"/>
  <c r="H73" i="12"/>
  <c r="J73" i="12" s="1"/>
  <c r="G11" i="9"/>
  <c r="G12" i="9" s="1"/>
  <c r="G13" i="9" s="1"/>
  <c r="G14" i="9" s="1"/>
  <c r="G15" i="9" s="1"/>
  <c r="G16" i="9" s="1"/>
  <c r="G17" i="9" s="1"/>
  <c r="G18" i="9" s="1"/>
  <c r="G19" i="9" s="1"/>
  <c r="G20" i="9" s="1"/>
  <c r="G21" i="9" s="1"/>
  <c r="G22" i="9" s="1"/>
  <c r="G23" i="9" s="1"/>
  <c r="G24" i="9" s="1"/>
  <c r="G25" i="9" s="1"/>
  <c r="C2" i="9"/>
  <c r="D2" i="9" s="1"/>
  <c r="E2" i="9" s="1"/>
  <c r="F2" i="9" s="1"/>
  <c r="G2" i="9" s="1"/>
  <c r="H2" i="9" s="1"/>
  <c r="I2" i="9" s="1"/>
  <c r="J2" i="9" s="1"/>
  <c r="K2" i="9" s="1"/>
  <c r="L2" i="9" s="1"/>
  <c r="C75" i="12" l="1"/>
  <c r="E75" i="12" s="1"/>
  <c r="G75" i="12"/>
  <c r="I75" i="12" s="1"/>
  <c r="H74" i="12"/>
  <c r="J74" i="12" s="1"/>
  <c r="C76" i="12" l="1"/>
  <c r="E76" i="12" s="1"/>
  <c r="G76" i="12"/>
  <c r="I76" i="12" s="1"/>
  <c r="H75" i="12"/>
  <c r="J75" i="12" s="1"/>
  <c r="C77" i="12" l="1"/>
  <c r="E77" i="12" s="1"/>
  <c r="G77" i="12"/>
  <c r="I77" i="12" s="1"/>
  <c r="H76" i="12"/>
  <c r="J76" i="12" s="1"/>
  <c r="B16" i="9"/>
  <c r="C21" i="8"/>
  <c r="A19" i="8"/>
  <c r="B22" i="7" l="1"/>
  <c r="B23" i="7"/>
  <c r="B21" i="7"/>
  <c r="B26" i="7"/>
  <c r="B25" i="7"/>
  <c r="F34" i="7"/>
  <c r="B19" i="7"/>
  <c r="AB6" i="9"/>
  <c r="AB7" i="9" s="1"/>
  <c r="C78" i="12"/>
  <c r="E78" i="12" s="1"/>
  <c r="G78" i="12"/>
  <c r="I78" i="12" s="1"/>
  <c r="H77" i="12"/>
  <c r="J77" i="12" s="1"/>
  <c r="J3" i="8"/>
  <c r="B20" i="7"/>
  <c r="AB8" i="9" l="1"/>
  <c r="AB9" i="9" s="1"/>
  <c r="C79" i="12"/>
  <c r="E79" i="12" s="1"/>
  <c r="G79" i="12"/>
  <c r="I79" i="12" s="1"/>
  <c r="H78" i="12"/>
  <c r="J78" i="12" s="1"/>
  <c r="L1" i="6" a="1"/>
  <c r="L1" i="6" s="1"/>
  <c r="AB10" i="9" l="1"/>
  <c r="C80" i="12"/>
  <c r="E80" i="12" s="1"/>
  <c r="G80" i="12"/>
  <c r="I80" i="12" s="1"/>
  <c r="H79" i="12"/>
  <c r="J79" i="12" s="1"/>
  <c r="C1" i="8"/>
  <c r="C17" i="8"/>
  <c r="AB11" i="9" l="1"/>
  <c r="C81" i="12"/>
  <c r="E81" i="12" s="1"/>
  <c r="G81" i="12"/>
  <c r="I81" i="12" s="1"/>
  <c r="H80" i="12"/>
  <c r="J80" i="12" s="1"/>
  <c r="AB12" i="9" l="1"/>
  <c r="C82" i="12"/>
  <c r="E82" i="12" s="1"/>
  <c r="G82" i="12"/>
  <c r="I82" i="12" s="1"/>
  <c r="H81" i="12"/>
  <c r="J81" i="12" s="1"/>
  <c r="AB13" i="9" l="1"/>
  <c r="C83" i="12"/>
  <c r="E83" i="12" s="1"/>
  <c r="G83" i="12"/>
  <c r="I83" i="12" s="1"/>
  <c r="H82" i="12"/>
  <c r="J82" i="12" s="1"/>
  <c r="AB14" i="9" l="1"/>
  <c r="C84" i="12"/>
  <c r="E84" i="12" s="1"/>
  <c r="G84" i="12"/>
  <c r="I84" i="12" s="1"/>
  <c r="H83" i="12"/>
  <c r="J83" i="12" s="1"/>
  <c r="AB15" i="9" l="1"/>
  <c r="C85" i="12"/>
  <c r="E85" i="12" s="1"/>
  <c r="G85" i="12"/>
  <c r="I85" i="12" s="1"/>
  <c r="H84" i="12"/>
  <c r="J84" i="12" s="1"/>
  <c r="AB16" i="9" l="1"/>
  <c r="C86" i="12"/>
  <c r="E86" i="12" s="1"/>
  <c r="G86" i="12"/>
  <c r="I86" i="12" s="1"/>
  <c r="H85" i="12"/>
  <c r="J85" i="12" s="1"/>
  <c r="AB17" i="9" l="1"/>
  <c r="C87" i="12"/>
  <c r="E87" i="12" s="1"/>
  <c r="G87" i="12"/>
  <c r="I87" i="12" s="1"/>
  <c r="H86" i="12"/>
  <c r="J86" i="12" s="1"/>
  <c r="AB18" i="9" l="1"/>
  <c r="C88" i="12"/>
  <c r="E88" i="12" s="1"/>
  <c r="G88" i="12"/>
  <c r="I88" i="12" s="1"/>
  <c r="H87" i="12"/>
  <c r="J87" i="12" s="1"/>
  <c r="AB19" i="9" l="1"/>
  <c r="C89" i="12"/>
  <c r="E89" i="12" s="1"/>
  <c r="G89" i="12"/>
  <c r="I89" i="12" s="1"/>
  <c r="H88" i="12"/>
  <c r="J88" i="12" s="1"/>
  <c r="AB20" i="9" l="1"/>
  <c r="C90" i="12"/>
  <c r="E90" i="12" s="1"/>
  <c r="G90" i="12"/>
  <c r="I90" i="12" s="1"/>
  <c r="H89" i="12"/>
  <c r="J89" i="12" s="1"/>
  <c r="AB21" i="9" l="1"/>
  <c r="C91" i="12"/>
  <c r="E91" i="12" s="1"/>
  <c r="G91" i="12"/>
  <c r="I91" i="12" s="1"/>
  <c r="H90" i="12"/>
  <c r="J90" i="12" s="1"/>
  <c r="AB22" i="9" l="1"/>
  <c r="C92" i="12"/>
  <c r="E92" i="12" s="1"/>
  <c r="G92" i="12"/>
  <c r="I92" i="12" s="1"/>
  <c r="H91" i="12"/>
  <c r="J91" i="12" s="1"/>
  <c r="AB23" i="9" l="1"/>
  <c r="C93" i="12"/>
  <c r="E93" i="12" s="1"/>
  <c r="G93" i="12"/>
  <c r="I93" i="12" s="1"/>
  <c r="H92" i="12"/>
  <c r="J92" i="12" s="1"/>
  <c r="AB24" i="9" l="1"/>
  <c r="C94" i="12"/>
  <c r="E94" i="12" s="1"/>
  <c r="G94" i="12"/>
  <c r="I94" i="12" s="1"/>
  <c r="H93" i="12"/>
  <c r="J93" i="12" s="1"/>
  <c r="AB25" i="9" l="1"/>
  <c r="C95" i="12"/>
  <c r="E95" i="12" s="1"/>
  <c r="G95" i="12"/>
  <c r="I95" i="12" s="1"/>
  <c r="H94" i="12"/>
  <c r="J94" i="12" s="1"/>
  <c r="AB26" i="9" l="1"/>
  <c r="C96" i="12"/>
  <c r="E96" i="12" s="1"/>
  <c r="G96" i="12"/>
  <c r="I96" i="12" s="1"/>
  <c r="H95" i="12"/>
  <c r="J95" i="12" s="1"/>
  <c r="AB27" i="9" l="1"/>
  <c r="C97" i="12"/>
  <c r="E97" i="12" s="1"/>
  <c r="G97" i="12"/>
  <c r="I97" i="12" s="1"/>
  <c r="H96" i="12"/>
  <c r="J96" i="12" s="1"/>
  <c r="AB28" i="9" l="1"/>
  <c r="C98" i="12"/>
  <c r="E98" i="12" s="1"/>
  <c r="G98" i="12"/>
  <c r="I98" i="12" s="1"/>
  <c r="H97" i="12"/>
  <c r="J97" i="12" s="1"/>
  <c r="AB29" i="9" l="1"/>
  <c r="C99" i="12"/>
  <c r="E99" i="12" s="1"/>
  <c r="G99" i="12"/>
  <c r="I99" i="12" s="1"/>
  <c r="H98" i="12"/>
  <c r="J98" i="12" s="1"/>
  <c r="AB30" i="9" l="1"/>
  <c r="C100" i="12"/>
  <c r="E100" i="12" s="1"/>
  <c r="G100" i="12"/>
  <c r="I100" i="12" s="1"/>
  <c r="H99" i="12"/>
  <c r="J99" i="12" s="1"/>
  <c r="AB31" i="9" l="1"/>
  <c r="C101" i="12"/>
  <c r="E101" i="12" s="1"/>
  <c r="G101" i="12"/>
  <c r="I101" i="12" s="1"/>
  <c r="H100" i="12"/>
  <c r="J100" i="12" s="1"/>
  <c r="AB32" i="9" l="1"/>
  <c r="C102" i="12"/>
  <c r="E102" i="12" s="1"/>
  <c r="G102" i="12"/>
  <c r="I102" i="12" s="1"/>
  <c r="H101" i="12"/>
  <c r="J101" i="12" s="1"/>
  <c r="AB33" i="9" l="1"/>
  <c r="C103" i="12"/>
  <c r="E103" i="12" s="1"/>
  <c r="G103" i="12"/>
  <c r="I103" i="12" s="1"/>
  <c r="H102" i="12"/>
  <c r="J102" i="12" s="1"/>
  <c r="AB34" i="9" l="1"/>
  <c r="C104" i="12"/>
  <c r="E104" i="12" s="1"/>
  <c r="G104" i="12"/>
  <c r="I104" i="12" s="1"/>
  <c r="H103" i="12"/>
  <c r="J103" i="12" s="1"/>
  <c r="AB35" i="9" l="1"/>
  <c r="C105" i="12"/>
  <c r="E105" i="12" s="1"/>
  <c r="G105" i="12"/>
  <c r="I105" i="12" s="1"/>
  <c r="H104" i="12"/>
  <c r="J104" i="12" s="1"/>
  <c r="AB36" i="9" l="1"/>
  <c r="C106" i="12"/>
  <c r="E106" i="12" s="1"/>
  <c r="G106" i="12"/>
  <c r="I106" i="12" s="1"/>
  <c r="H105" i="12"/>
  <c r="J105" i="12" s="1"/>
  <c r="AB37" i="9" l="1"/>
  <c r="C107" i="12"/>
  <c r="E107" i="12" s="1"/>
  <c r="G107" i="12"/>
  <c r="I107" i="12" s="1"/>
  <c r="H106" i="12"/>
  <c r="J106" i="12" s="1"/>
  <c r="AB38" i="9" l="1"/>
  <c r="C108" i="12"/>
  <c r="E108" i="12" s="1"/>
  <c r="G108" i="12"/>
  <c r="I108" i="12" s="1"/>
  <c r="H107" i="12"/>
  <c r="J107" i="12" s="1"/>
  <c r="AB39" i="9" l="1"/>
  <c r="C109" i="12"/>
  <c r="E109" i="12" s="1"/>
  <c r="G109" i="12"/>
  <c r="I109" i="12" s="1"/>
  <c r="H108" i="12"/>
  <c r="AB40" i="9" l="1"/>
  <c r="H109" i="12"/>
  <c r="H5" i="12" s="1"/>
  <c r="J108" i="12"/>
  <c r="AB41" i="9" l="1"/>
  <c r="J109" i="12"/>
  <c r="H6" i="12"/>
  <c r="AB42" i="9" l="1"/>
  <c r="AB43" i="9" l="1"/>
  <c r="AB44" i="9" l="1"/>
  <c r="AB45" i="9" l="1"/>
  <c r="AB46" i="9" l="1"/>
  <c r="AB47" i="9" l="1"/>
  <c r="AB48" i="9" l="1"/>
  <c r="AB49" i="9" l="1"/>
  <c r="AB50" i="9" l="1"/>
  <c r="AB51" i="9" l="1"/>
  <c r="AB52" i="9" l="1"/>
  <c r="AB53" i="9" l="1"/>
  <c r="AB54" i="9" l="1"/>
  <c r="AB55" i="9" l="1"/>
  <c r="AB56" i="9" l="1"/>
  <c r="AB57" i="9" l="1"/>
  <c r="AB58" i="9" l="1"/>
  <c r="AB59" i="9" l="1"/>
  <c r="AB60" i="9" l="1"/>
  <c r="AB61" i="9" l="1"/>
  <c r="D13" i="12"/>
  <c r="F13" i="12" l="1"/>
  <c r="K13" i="12" s="1"/>
  <c r="L13" i="12" s="1"/>
  <c r="D14" i="12"/>
  <c r="F14" i="12" l="1"/>
  <c r="K14" i="12" s="1"/>
  <c r="L14" i="12" s="1"/>
  <c r="D15" i="12"/>
  <c r="D16" i="12" l="1"/>
  <c r="F15" i="12"/>
  <c r="K15" i="12" s="1"/>
  <c r="L15" i="12" s="1"/>
  <c r="D17" i="12" l="1"/>
  <c r="F16" i="12"/>
  <c r="K16" i="12" s="1"/>
  <c r="L16" i="12" s="1"/>
  <c r="F17" i="12" l="1"/>
  <c r="K17" i="12" s="1"/>
  <c r="L17" i="12" s="1"/>
  <c r="D18" i="12"/>
  <c r="F18" i="12" l="1"/>
  <c r="K18" i="12" s="1"/>
  <c r="L18" i="12" s="1"/>
  <c r="D19" i="12"/>
  <c r="F19" i="12" l="1"/>
  <c r="K19" i="12" s="1"/>
  <c r="L19" i="12" s="1"/>
  <c r="D20" i="12"/>
  <c r="D21" i="12" l="1"/>
  <c r="F20" i="12"/>
  <c r="K20" i="12" s="1"/>
  <c r="L20" i="12" s="1"/>
  <c r="D22" i="12" l="1"/>
  <c r="F21" i="12"/>
  <c r="K21" i="12" s="1"/>
  <c r="L21" i="12" s="1"/>
  <c r="F22" i="12" l="1"/>
  <c r="K22" i="12" s="1"/>
  <c r="L22" i="12" s="1"/>
  <c r="D23" i="12"/>
  <c r="D24" i="12" l="1"/>
  <c r="F23" i="12"/>
  <c r="K23" i="12" s="1"/>
  <c r="L23" i="12" s="1"/>
  <c r="D25" i="12" l="1"/>
  <c r="F24" i="12"/>
  <c r="K24" i="12" s="1"/>
  <c r="L24" i="12" s="1"/>
  <c r="F25" i="12" l="1"/>
  <c r="K25" i="12" s="1"/>
  <c r="L25" i="12" s="1"/>
  <c r="D26" i="12"/>
  <c r="F26" i="12" l="1"/>
  <c r="K26" i="12" s="1"/>
  <c r="L26" i="12" s="1"/>
  <c r="D27" i="12"/>
  <c r="D28" i="12" l="1"/>
  <c r="F27" i="12"/>
  <c r="K27" i="12" s="1"/>
  <c r="L27" i="12" s="1"/>
  <c r="D29" i="12" l="1"/>
  <c r="F28" i="12"/>
  <c r="K28" i="12" s="1"/>
  <c r="L28" i="12" s="1"/>
  <c r="F29" i="12" l="1"/>
  <c r="K29" i="12" s="1"/>
  <c r="L29" i="12" s="1"/>
  <c r="D30" i="12"/>
  <c r="F30" i="12" l="1"/>
  <c r="K30" i="12" s="1"/>
  <c r="L30" i="12" s="1"/>
  <c r="D31" i="12"/>
  <c r="D32" i="12" l="1"/>
  <c r="F31" i="12"/>
  <c r="K31" i="12" s="1"/>
  <c r="L31" i="12" s="1"/>
  <c r="F32" i="12" l="1"/>
  <c r="K32" i="12" s="1"/>
  <c r="L32" i="12" s="1"/>
  <c r="D33" i="12"/>
  <c r="F33" i="12" l="1"/>
  <c r="K33" i="12" s="1"/>
  <c r="L33" i="12" s="1"/>
  <c r="D34" i="12"/>
  <c r="F34" i="12" l="1"/>
  <c r="K34" i="12" s="1"/>
  <c r="L34" i="12" s="1"/>
  <c r="D35" i="12"/>
  <c r="D36" i="12" l="1"/>
  <c r="F35" i="12"/>
  <c r="K35" i="12" s="1"/>
  <c r="L35" i="12" s="1"/>
  <c r="F36" i="12" l="1"/>
  <c r="K36" i="12" s="1"/>
  <c r="L36" i="12" s="1"/>
  <c r="D37" i="12"/>
  <c r="D38" i="12" l="1"/>
  <c r="F37" i="12"/>
  <c r="K37" i="12" s="1"/>
  <c r="L37" i="12" s="1"/>
  <c r="F38" i="12" l="1"/>
  <c r="K38" i="12" s="1"/>
  <c r="L38" i="12" s="1"/>
  <c r="D39" i="12"/>
  <c r="D40" i="12" l="1"/>
  <c r="F39" i="12"/>
  <c r="K39" i="12" s="1"/>
  <c r="L39" i="12" s="1"/>
  <c r="F40" i="12" l="1"/>
  <c r="K40" i="12" s="1"/>
  <c r="L40" i="12" s="1"/>
  <c r="D41" i="12"/>
  <c r="D42" i="12" l="1"/>
  <c r="F41" i="12"/>
  <c r="K41" i="12" s="1"/>
  <c r="L41" i="12" s="1"/>
  <c r="F42" i="12" l="1"/>
  <c r="K42" i="12" s="1"/>
  <c r="L42" i="12" s="1"/>
  <c r="D43" i="12"/>
  <c r="F43" i="12" l="1"/>
  <c r="K43" i="12" s="1"/>
  <c r="L43" i="12" s="1"/>
  <c r="D44" i="12"/>
  <c r="F44" i="12" l="1"/>
  <c r="K44" i="12" s="1"/>
  <c r="L44" i="12" s="1"/>
  <c r="D45" i="12"/>
  <c r="F45" i="12" l="1"/>
  <c r="K45" i="12" s="1"/>
  <c r="L45" i="12" s="1"/>
  <c r="D46" i="12"/>
  <c r="D47" i="12" l="1"/>
  <c r="F46" i="12"/>
  <c r="K46" i="12" s="1"/>
  <c r="L46" i="12" s="1"/>
  <c r="D48" i="12" l="1"/>
  <c r="F47" i="12"/>
  <c r="K47" i="12" s="1"/>
  <c r="L47" i="12" s="1"/>
  <c r="D49" i="12" l="1"/>
  <c r="F48" i="12"/>
  <c r="K48" i="12" s="1"/>
  <c r="L48" i="12" s="1"/>
  <c r="D50" i="12" l="1"/>
  <c r="F49" i="12"/>
  <c r="K49" i="12" s="1"/>
  <c r="L49" i="12" s="1"/>
  <c r="F50" i="12" l="1"/>
  <c r="K50" i="12" s="1"/>
  <c r="L50" i="12" s="1"/>
  <c r="D51" i="12"/>
  <c r="D52" i="12" l="1"/>
  <c r="F51" i="12"/>
  <c r="K51" i="12" s="1"/>
  <c r="L51" i="12" s="1"/>
  <c r="D53" i="12" l="1"/>
  <c r="F52" i="12"/>
  <c r="K52" i="12" s="1"/>
  <c r="L52" i="12" s="1"/>
  <c r="D54" i="12" l="1"/>
  <c r="F53" i="12"/>
  <c r="K53" i="12" s="1"/>
  <c r="L53" i="12" s="1"/>
  <c r="D55" i="12" l="1"/>
  <c r="F54" i="12"/>
  <c r="K54" i="12" s="1"/>
  <c r="L54" i="12" s="1"/>
  <c r="D56" i="12" l="1"/>
  <c r="F55" i="12"/>
  <c r="K55" i="12" s="1"/>
  <c r="L55" i="12" s="1"/>
  <c r="F56" i="12" l="1"/>
  <c r="K56" i="12" s="1"/>
  <c r="L56" i="12" s="1"/>
  <c r="D57" i="12"/>
  <c r="D58" i="12" l="1"/>
  <c r="F57" i="12"/>
  <c r="K57" i="12" s="1"/>
  <c r="L57" i="12" s="1"/>
  <c r="D59" i="12" l="1"/>
  <c r="F58" i="12"/>
  <c r="K58" i="12" s="1"/>
  <c r="L58" i="12" s="1"/>
  <c r="F59" i="12" l="1"/>
  <c r="K59" i="12" s="1"/>
  <c r="L59" i="12" s="1"/>
  <c r="D60" i="12"/>
  <c r="D61" i="12" l="1"/>
  <c r="F60" i="12"/>
  <c r="K60" i="12" s="1"/>
  <c r="L60" i="12" s="1"/>
  <c r="F61" i="12" l="1"/>
  <c r="K61" i="12" s="1"/>
  <c r="L61" i="12" s="1"/>
  <c r="D62" i="12"/>
  <c r="D63" i="12" l="1"/>
  <c r="F62" i="12"/>
  <c r="K62" i="12" s="1"/>
  <c r="L62" i="12" s="1"/>
  <c r="D64" i="12" l="1"/>
  <c r="F63" i="12"/>
  <c r="K63" i="12" s="1"/>
  <c r="L63" i="12" s="1"/>
  <c r="D65" i="12" l="1"/>
  <c r="F64" i="12"/>
  <c r="K64" i="12" s="1"/>
  <c r="L64" i="12" s="1"/>
  <c r="F65" i="12" l="1"/>
  <c r="K65" i="12" s="1"/>
  <c r="L65" i="12" s="1"/>
  <c r="D66" i="12"/>
  <c r="D67" i="12" l="1"/>
  <c r="F66" i="12"/>
  <c r="K66" i="12" s="1"/>
  <c r="L66" i="12" s="1"/>
  <c r="D68" i="12" l="1"/>
  <c r="F67" i="12"/>
  <c r="K67" i="12" s="1"/>
  <c r="L67" i="12" s="1"/>
  <c r="D69" i="12" l="1"/>
  <c r="F68" i="12"/>
  <c r="K68" i="12" s="1"/>
  <c r="L68" i="12" s="1"/>
  <c r="F69" i="12" l="1"/>
  <c r="K69" i="12" s="1"/>
  <c r="L69" i="12" s="1"/>
  <c r="D70" i="12"/>
  <c r="D71" i="12" l="1"/>
  <c r="F70" i="12"/>
  <c r="K70" i="12" s="1"/>
  <c r="L70" i="12" s="1"/>
  <c r="F71" i="12" l="1"/>
  <c r="K71" i="12" s="1"/>
  <c r="L71" i="12" s="1"/>
  <c r="D72" i="12"/>
  <c r="F72" i="12" l="1"/>
  <c r="K72" i="12" s="1"/>
  <c r="L72" i="12" s="1"/>
  <c r="D73" i="12"/>
  <c r="D74" i="12" l="1"/>
  <c r="F73" i="12"/>
  <c r="K73" i="12" s="1"/>
  <c r="L73" i="12" s="1"/>
  <c r="D75" i="12" l="1"/>
  <c r="F74" i="12"/>
  <c r="K74" i="12" s="1"/>
  <c r="L74" i="12" s="1"/>
  <c r="D76" i="12" l="1"/>
  <c r="F75" i="12"/>
  <c r="K75" i="12" s="1"/>
  <c r="L75" i="12" s="1"/>
  <c r="F76" i="12" l="1"/>
  <c r="K76" i="12" s="1"/>
  <c r="L76" i="12" s="1"/>
  <c r="D77" i="12"/>
  <c r="D78" i="12" l="1"/>
  <c r="F77" i="12"/>
  <c r="K77" i="12" s="1"/>
  <c r="L77" i="12" s="1"/>
  <c r="F78" i="12" l="1"/>
  <c r="K78" i="12" s="1"/>
  <c r="L78" i="12" s="1"/>
  <c r="D79" i="12"/>
  <c r="D80" i="12" l="1"/>
  <c r="F79" i="12"/>
  <c r="K79" i="12" s="1"/>
  <c r="L79" i="12" s="1"/>
  <c r="F80" i="12" l="1"/>
  <c r="K80" i="12" s="1"/>
  <c r="L80" i="12" s="1"/>
  <c r="D81" i="12"/>
  <c r="D82" i="12" l="1"/>
  <c r="F81" i="12"/>
  <c r="K81" i="12" s="1"/>
  <c r="L81" i="12" s="1"/>
  <c r="F82" i="12" l="1"/>
  <c r="K82" i="12" s="1"/>
  <c r="L82" i="12" s="1"/>
  <c r="D83" i="12"/>
  <c r="F83" i="12" l="1"/>
  <c r="K83" i="12" s="1"/>
  <c r="L83" i="12" s="1"/>
  <c r="D84" i="12"/>
  <c r="D85" i="12" l="1"/>
  <c r="F84" i="12"/>
  <c r="K84" i="12" s="1"/>
  <c r="L84" i="12" s="1"/>
  <c r="F85" i="12" l="1"/>
  <c r="K85" i="12" s="1"/>
  <c r="L85" i="12" s="1"/>
  <c r="D86" i="12"/>
  <c r="D87" i="12" l="1"/>
  <c r="F86" i="12"/>
  <c r="K86" i="12" s="1"/>
  <c r="L86" i="12" s="1"/>
  <c r="D88" i="12" l="1"/>
  <c r="F87" i="12"/>
  <c r="K87" i="12" s="1"/>
  <c r="L87" i="12" s="1"/>
  <c r="D89" i="12" l="1"/>
  <c r="F88" i="12"/>
  <c r="K88" i="12" s="1"/>
  <c r="L88" i="12" s="1"/>
  <c r="F89" i="12" l="1"/>
  <c r="K89" i="12" s="1"/>
  <c r="L89" i="12" s="1"/>
  <c r="D90" i="12"/>
  <c r="D91" i="12" l="1"/>
  <c r="F90" i="12"/>
  <c r="K90" i="12" s="1"/>
  <c r="L90" i="12" s="1"/>
  <c r="D92" i="12" l="1"/>
  <c r="F91" i="12"/>
  <c r="K91" i="12" s="1"/>
  <c r="L91" i="12" s="1"/>
  <c r="F92" i="12" l="1"/>
  <c r="K92" i="12" s="1"/>
  <c r="L92" i="12" s="1"/>
  <c r="D93" i="12"/>
  <c r="D94" i="12" l="1"/>
  <c r="F93" i="12"/>
  <c r="K93" i="12" s="1"/>
  <c r="L93" i="12" s="1"/>
  <c r="D95" i="12" l="1"/>
  <c r="F94" i="12"/>
  <c r="K94" i="12" s="1"/>
  <c r="L94" i="12" s="1"/>
  <c r="D96" i="12" l="1"/>
  <c r="F95" i="12"/>
  <c r="K95" i="12" s="1"/>
  <c r="L95" i="12" s="1"/>
  <c r="F96" i="12" l="1"/>
  <c r="K96" i="12" s="1"/>
  <c r="L96" i="12" s="1"/>
  <c r="D97" i="12"/>
  <c r="D98" i="12" l="1"/>
  <c r="F97" i="12"/>
  <c r="K97" i="12" s="1"/>
  <c r="L97" i="12" s="1"/>
  <c r="D99" i="12" l="1"/>
  <c r="F98" i="12"/>
  <c r="K98" i="12" s="1"/>
  <c r="L98" i="12" s="1"/>
  <c r="F99" i="12" l="1"/>
  <c r="K99" i="12" s="1"/>
  <c r="L99" i="12" s="1"/>
  <c r="D100" i="12"/>
  <c r="F100" i="12" l="1"/>
  <c r="K100" i="12" s="1"/>
  <c r="L100" i="12" s="1"/>
  <c r="D101" i="12"/>
  <c r="D102" i="12" l="1"/>
  <c r="F101" i="12"/>
  <c r="K101" i="12" s="1"/>
  <c r="L101" i="12" s="1"/>
  <c r="D103" i="12" l="1"/>
  <c r="F102" i="12"/>
  <c r="K102" i="12" s="1"/>
  <c r="L102" i="12" s="1"/>
  <c r="F103" i="12" l="1"/>
  <c r="K103" i="12" s="1"/>
  <c r="L103" i="12" s="1"/>
  <c r="D104" i="12"/>
  <c r="D105" i="12" l="1"/>
  <c r="F104" i="12"/>
  <c r="K104" i="12" s="1"/>
  <c r="L104" i="12" s="1"/>
  <c r="D106" i="12" l="1"/>
  <c r="F105" i="12"/>
  <c r="K105" i="12" s="1"/>
  <c r="L105" i="12" s="1"/>
  <c r="F106" i="12" l="1"/>
  <c r="K106" i="12" s="1"/>
  <c r="L106" i="12" s="1"/>
  <c r="D107" i="12"/>
  <c r="F107" i="12" l="1"/>
  <c r="K107" i="12" s="1"/>
  <c r="L107" i="12" s="1"/>
  <c r="D108" i="12"/>
  <c r="F108" i="12" l="1"/>
  <c r="K108" i="12" s="1"/>
  <c r="L108" i="12" s="1"/>
  <c r="D109" i="12"/>
  <c r="F109" i="12" l="1"/>
  <c r="K109" i="12" s="1"/>
  <c r="L109" i="12" s="1"/>
  <c r="L5" i="12" s="1"/>
  <c r="D5" i="12"/>
  <c r="D6" i="12" s="1"/>
  <c r="C18" i="7" l="1"/>
  <c r="J10" i="8" s="1"/>
  <c r="AE46" i="9" s="1" a="1"/>
  <c r="AE46" i="9" s="1"/>
  <c r="AE32" i="9" a="1"/>
  <c r="AE32" i="9" s="1"/>
  <c r="AF8" i="9" a="1"/>
  <c r="AF8" i="9" s="1"/>
  <c r="AE26" i="9" a="1"/>
  <c r="AE26" i="9" s="1"/>
  <c r="AF7" i="9" a="1"/>
  <c r="AF7" i="9" s="1"/>
  <c r="AJ7" i="9" s="1"/>
  <c r="AE28" i="9" a="1"/>
  <c r="AE28" i="9" s="1"/>
  <c r="AE57" i="9" a="1"/>
  <c r="AE57" i="9" s="1"/>
  <c r="AE16" i="9" a="1"/>
  <c r="AE16" i="9" s="1"/>
  <c r="AE56" i="9" a="1"/>
  <c r="AE56" i="9" s="1"/>
  <c r="AE15" i="9" a="1"/>
  <c r="AE15" i="9" s="1"/>
  <c r="AE54" i="9" a="1"/>
  <c r="AE54" i="9" s="1"/>
  <c r="AE13" i="9" a="1"/>
  <c r="AE13" i="9" s="1"/>
  <c r="AE55" i="9" a="1"/>
  <c r="AE55" i="9" s="1"/>
  <c r="AE14" i="9" a="1"/>
  <c r="AE14" i="9" s="1"/>
  <c r="AE52" i="9" a="1"/>
  <c r="AE52" i="9" s="1"/>
  <c r="AF47" i="9" a="1"/>
  <c r="AF47" i="9" s="1"/>
  <c r="AE60" i="9" a="1"/>
  <c r="AE60" i="9" s="1"/>
  <c r="AF52" i="9" a="1"/>
  <c r="AF52" i="9" s="1"/>
  <c r="AF30" i="9" a="1"/>
  <c r="AF30" i="9" s="1"/>
  <c r="AE8" i="9" a="1"/>
  <c r="AE8" i="9" s="1"/>
  <c r="AE11" i="9" a="1"/>
  <c r="AE11" i="9" s="1"/>
  <c r="AE41" i="9" a="1"/>
  <c r="AE41" i="9" s="1"/>
  <c r="AE35" i="9" a="1"/>
  <c r="AE35" i="9" s="1"/>
  <c r="AF22" i="9" a="1"/>
  <c r="AF22" i="9" s="1"/>
  <c r="AE18" i="9" a="1"/>
  <c r="AE18" i="9" s="1"/>
  <c r="AF49" i="9" a="1"/>
  <c r="AF49" i="9" s="1"/>
  <c r="AF36" i="9" a="1"/>
  <c r="AF36" i="9" s="1"/>
  <c r="AE19" i="9" a="1"/>
  <c r="AE19" i="9" s="1"/>
  <c r="AE31" i="9" a="1"/>
  <c r="AE31" i="9" s="1"/>
  <c r="AE51" i="9" a="1"/>
  <c r="AE51" i="9" s="1"/>
  <c r="AF58" i="9" a="1"/>
  <c r="AF58" i="9" s="1"/>
  <c r="AF20" i="9" a="1"/>
  <c r="AF20" i="9" s="1"/>
  <c r="AE40" i="9" a="1"/>
  <c r="AE40" i="9" s="1"/>
  <c r="AF14" i="9" a="1"/>
  <c r="AF14" i="9" s="1"/>
  <c r="AF44" i="9" a="1"/>
  <c r="AF44" i="9" s="1"/>
  <c r="AE21" i="9" a="1"/>
  <c r="AE21" i="9" s="1"/>
  <c r="AE24" i="9" a="1"/>
  <c r="AE24" i="9" s="1"/>
  <c r="AF12" i="9" a="1"/>
  <c r="AF12" i="9" s="1"/>
  <c r="AF48" i="9" a="1"/>
  <c r="AF48" i="9" s="1"/>
  <c r="AE17" i="9" a="1"/>
  <c r="AE17" i="9" s="1"/>
  <c r="AE38" i="9" a="1"/>
  <c r="AE38" i="9" s="1"/>
  <c r="AF55" i="9" a="1"/>
  <c r="AF55" i="9" s="1"/>
  <c r="AF53" i="9" a="1"/>
  <c r="AF53" i="9" s="1"/>
  <c r="AF15" i="9" a="1"/>
  <c r="AF15" i="9" s="1"/>
  <c r="AF31" i="9" a="1"/>
  <c r="AF31" i="9" s="1"/>
  <c r="AE25" i="9" a="1"/>
  <c r="AE25" i="9" s="1"/>
  <c r="AF54" i="9" a="1"/>
  <c r="AF54" i="9" s="1"/>
  <c r="AE45" i="9" a="1"/>
  <c r="AE45" i="9" s="1"/>
  <c r="AF32" i="9" a="1"/>
  <c r="AF32" i="9" s="1"/>
  <c r="AF56" i="9" a="1"/>
  <c r="AF56" i="9" s="1"/>
  <c r="AF27" i="9" a="1"/>
  <c r="AF27" i="9" s="1"/>
  <c r="AF26" i="9" a="1"/>
  <c r="AF26" i="9" s="1"/>
  <c r="AF10" i="9" a="1"/>
  <c r="AF10" i="9" s="1"/>
  <c r="AF13" i="9" a="1"/>
  <c r="AF13" i="9" s="1"/>
  <c r="AE50" i="9" a="1"/>
  <c r="AE50" i="9" s="1"/>
  <c r="AF17" i="9" a="1"/>
  <c r="AF17" i="9" s="1"/>
  <c r="AF39" i="9" a="1"/>
  <c r="AF39" i="9" s="1"/>
  <c r="AF21" i="9" a="1"/>
  <c r="AF21" i="9" s="1"/>
  <c r="AF9" i="9" a="1"/>
  <c r="AF9" i="9" s="1"/>
  <c r="AF41" i="9" a="1"/>
  <c r="AF41" i="9" s="1"/>
  <c r="AE43" i="9" a="1"/>
  <c r="AE43" i="9" s="1"/>
  <c r="AE49" i="9" a="1"/>
  <c r="AE49" i="9" s="1"/>
  <c r="AE44" i="9" a="1"/>
  <c r="AE44" i="9" s="1"/>
  <c r="AF28" i="9" a="1"/>
  <c r="AF28" i="9" s="1"/>
  <c r="AE22" i="9" a="1"/>
  <c r="AE22" i="9" s="1"/>
  <c r="AF42" i="9" a="1"/>
  <c r="AF42" i="9" s="1"/>
  <c r="AF18" i="9" a="1"/>
  <c r="AF18" i="9" s="1"/>
  <c r="AF25" i="9" a="1"/>
  <c r="AF25" i="9" s="1"/>
  <c r="AE34" i="9" a="1"/>
  <c r="AE34" i="9" s="1"/>
  <c r="AE9" i="9" a="1"/>
  <c r="AE9" i="9" s="1"/>
  <c r="AF50" i="9" a="1"/>
  <c r="AF50" i="9" s="1"/>
  <c r="AF59" i="9" a="1"/>
  <c r="AF59" i="9" s="1"/>
  <c r="AE36" i="9" a="1"/>
  <c r="AE36" i="9" s="1"/>
  <c r="AF23" i="9" a="1"/>
  <c r="AF23" i="9" s="1"/>
  <c r="AF40" i="9" a="1"/>
  <c r="AF40" i="9" s="1"/>
  <c r="AF60" i="9" a="1"/>
  <c r="AF60" i="9" s="1"/>
  <c r="AF37" i="9" a="1"/>
  <c r="AF37" i="9" s="1"/>
  <c r="AF16" i="9" a="1"/>
  <c r="AF16" i="9" s="1"/>
  <c r="AE33" i="9" a="1"/>
  <c r="AE33" i="9" s="1"/>
  <c r="AE20" i="9" a="1"/>
  <c r="AE20" i="9" s="1"/>
  <c r="AE37" i="9" a="1"/>
  <c r="AE37" i="9" s="1"/>
  <c r="AE48" i="9" a="1"/>
  <c r="AE48" i="9" s="1"/>
  <c r="AF33" i="9" a="1"/>
  <c r="AF33" i="9" s="1"/>
  <c r="AF51" i="9" a="1"/>
  <c r="AF51" i="9" s="1"/>
  <c r="AF29" i="9" a="1"/>
  <c r="AF29" i="9" s="1"/>
  <c r="AE47" i="9" a="1"/>
  <c r="AE47" i="9" s="1"/>
  <c r="AE10" i="9" a="1"/>
  <c r="AE10" i="9" s="1"/>
  <c r="AF46" i="9" a="1"/>
  <c r="AF46" i="9" s="1"/>
  <c r="AF24" i="9" a="1"/>
  <c r="AF24" i="9" s="1"/>
  <c r="AE7" i="9" a="1"/>
  <c r="AE7" i="9" s="1"/>
  <c r="AI7" i="9" s="1"/>
  <c r="AF38" i="9" a="1"/>
  <c r="AF38" i="9" s="1"/>
  <c r="AF45" i="9" a="1"/>
  <c r="AF45" i="9" s="1"/>
  <c r="AF61" i="9" a="1"/>
  <c r="AF61" i="9" s="1"/>
  <c r="AF11" i="9" a="1"/>
  <c r="AF11" i="9" s="1"/>
  <c r="AF43" i="9" a="1"/>
  <c r="AF43" i="9" s="1"/>
  <c r="AE61" i="9" a="1"/>
  <c r="AE61" i="9" s="1"/>
  <c r="AE23" i="9" a="1"/>
  <c r="AE23" i="9" s="1"/>
  <c r="AE29" i="9" a="1"/>
  <c r="AE29" i="9" s="1"/>
  <c r="AF57" i="9" a="1"/>
  <c r="AF57" i="9" s="1"/>
  <c r="AF19" i="9" a="1"/>
  <c r="AF19" i="9" s="1"/>
  <c r="K7" i="8"/>
  <c r="G38" i="7" s="1"/>
  <c r="K5" i="8"/>
  <c r="G36" i="7" s="1"/>
  <c r="K6" i="8"/>
  <c r="G37" i="7" s="1"/>
  <c r="K4" i="8"/>
  <c r="G35" i="7" s="1"/>
  <c r="I18" i="7"/>
  <c r="O6" i="9" s="1"/>
  <c r="X2" i="9"/>
  <c r="O4" i="9"/>
  <c r="W2" i="9"/>
  <c r="D1" i="8"/>
  <c r="I14" i="7"/>
  <c r="J25" i="7"/>
  <c r="I13" i="7"/>
  <c r="O3" i="9" s="1"/>
  <c r="K3" i="8"/>
  <c r="J13" i="7"/>
  <c r="P3" i="9" s="1"/>
  <c r="K15" i="7"/>
  <c r="J16" i="7"/>
  <c r="D26" i="8"/>
  <c r="G34" i="7"/>
  <c r="D23" i="8"/>
  <c r="E10" i="7"/>
  <c r="J14" i="7"/>
  <c r="I12" i="7"/>
  <c r="O2" i="9" s="1"/>
  <c r="K14" i="7"/>
  <c r="J15" i="7"/>
  <c r="I19" i="7"/>
  <c r="I15" i="7"/>
  <c r="K13" i="7"/>
  <c r="Q3" i="9" s="1"/>
  <c r="D8" i="8"/>
  <c r="D15" i="8"/>
  <c r="D21" i="8"/>
  <c r="D7" i="8"/>
  <c r="D27" i="8"/>
  <c r="D25" i="8"/>
  <c r="D17" i="8"/>
  <c r="D24" i="8"/>
  <c r="I17" i="7"/>
  <c r="O5" i="9" s="1"/>
  <c r="D34" i="8"/>
  <c r="K16" i="7"/>
  <c r="D5" i="8"/>
  <c r="AF34" i="9" l="1" a="1"/>
  <c r="AF34" i="9" s="1"/>
  <c r="AE39" i="9" a="1"/>
  <c r="AE39" i="9" s="1"/>
  <c r="I16" i="7"/>
  <c r="K25" i="7"/>
  <c r="AE27" i="9" a="1"/>
  <c r="AE27" i="9" s="1"/>
  <c r="AE58" i="9" a="1"/>
  <c r="AE58" i="9" s="1"/>
  <c r="K18" i="7" a="1"/>
  <c r="K18" i="7" s="1"/>
  <c r="Q6" i="9" s="1"/>
  <c r="AF35" i="9" a="1"/>
  <c r="AF35" i="9" s="1"/>
  <c r="AE42" i="9" a="1"/>
  <c r="AE42" i="9" s="1"/>
  <c r="J18" i="7" a="1"/>
  <c r="J18" i="7" s="1"/>
  <c r="J17" i="7" a="1"/>
  <c r="J17" i="7" s="1"/>
  <c r="K17" i="7" a="1"/>
  <c r="K17" i="7" s="1"/>
  <c r="Q5" i="9" s="1"/>
  <c r="AE12" i="9" a="1"/>
  <c r="AE12" i="9" s="1"/>
  <c r="AE30" i="9" a="1"/>
  <c r="AE30" i="9" s="1"/>
  <c r="AE53" i="9" a="1"/>
  <c r="AE53" i="9" s="1"/>
  <c r="I25" i="7"/>
  <c r="O7" i="9" s="1"/>
  <c r="AE59" i="9" a="1"/>
  <c r="AE59" i="9" s="1"/>
  <c r="AH7" i="9"/>
  <c r="AH8" i="9" s="1"/>
  <c r="AH9" i="9" s="1"/>
  <c r="AH10" i="9" s="1"/>
  <c r="AH11" i="9" s="1"/>
  <c r="AH12" i="9" s="1"/>
  <c r="AH13" i="9" s="1"/>
  <c r="AH14" i="9" s="1"/>
  <c r="AH15" i="9" s="1"/>
  <c r="AH16" i="9" s="1"/>
  <c r="AH17" i="9" s="1"/>
  <c r="AH18" i="9" s="1"/>
  <c r="AH19" i="9" s="1"/>
  <c r="AH20" i="9" s="1"/>
  <c r="AH21" i="9" s="1"/>
  <c r="AH22" i="9" s="1"/>
  <c r="AH23" i="9" s="1"/>
  <c r="AH24" i="9" s="1"/>
  <c r="AH25" i="9" s="1"/>
  <c r="AH26" i="9" s="1"/>
  <c r="AH27" i="9" s="1"/>
  <c r="AH28" i="9" s="1"/>
  <c r="AH29" i="9" s="1"/>
  <c r="AH30" i="9" s="1"/>
  <c r="AH31" i="9" s="1"/>
  <c r="AH32" i="9" s="1"/>
  <c r="AH33" i="9" s="1"/>
  <c r="AH34" i="9" s="1"/>
  <c r="AH35" i="9" s="1"/>
  <c r="AH36" i="9" s="1"/>
  <c r="AH37" i="9" s="1"/>
  <c r="AH38" i="9" s="1"/>
  <c r="AH39" i="9" s="1"/>
  <c r="AH40" i="9" s="1"/>
  <c r="AH41" i="9" s="1"/>
  <c r="AH42" i="9" s="1"/>
  <c r="AH43" i="9" s="1"/>
  <c r="AH44" i="9" s="1"/>
  <c r="AH45" i="9" s="1"/>
  <c r="AH46" i="9" s="1"/>
  <c r="AH47" i="9" s="1"/>
  <c r="AH48" i="9" s="1"/>
  <c r="AH49" i="9" s="1"/>
  <c r="AH50" i="9" s="1"/>
  <c r="AH51" i="9" s="1"/>
  <c r="AH52" i="9" s="1"/>
  <c r="AH53" i="9" s="1"/>
  <c r="AH54" i="9" s="1"/>
  <c r="AH55" i="9" s="1"/>
  <c r="AH56" i="9" s="1"/>
  <c r="AH57" i="9" s="1"/>
  <c r="AH58" i="9" s="1"/>
  <c r="AH59" i="9" s="1"/>
  <c r="AH60" i="9" s="1"/>
  <c r="AH61" i="9" s="1"/>
  <c r="Q7" i="9"/>
  <c r="P7" i="9"/>
  <c r="AJ8" i="9"/>
  <c r="AJ9" i="9" s="1"/>
  <c r="AJ10" i="9" s="1"/>
  <c r="AJ11" i="9" s="1"/>
  <c r="AJ12" i="9" s="1"/>
  <c r="AJ13" i="9" s="1"/>
  <c r="AJ14" i="9" s="1"/>
  <c r="AJ15" i="9" s="1"/>
  <c r="AJ16" i="9" s="1"/>
  <c r="AJ17" i="9" s="1"/>
  <c r="AJ18" i="9" s="1"/>
  <c r="AJ19" i="9" s="1"/>
  <c r="AJ20" i="9" s="1"/>
  <c r="AJ21" i="9" s="1"/>
  <c r="AJ22" i="9" s="1"/>
  <c r="AJ23" i="9" s="1"/>
  <c r="AJ24" i="9" s="1"/>
  <c r="AJ25" i="9" s="1"/>
  <c r="AJ26" i="9" s="1"/>
  <c r="AJ27" i="9" s="1"/>
  <c r="AJ28" i="9" s="1"/>
  <c r="AJ29" i="9" s="1"/>
  <c r="AJ30" i="9" s="1"/>
  <c r="AJ31" i="9" s="1"/>
  <c r="AJ32" i="9" s="1"/>
  <c r="AJ33" i="9" s="1"/>
  <c r="AJ34" i="9" s="1"/>
  <c r="AJ35" i="9" s="1"/>
  <c r="AJ36" i="9" s="1"/>
  <c r="AJ37" i="9" s="1"/>
  <c r="AJ38" i="9" s="1"/>
  <c r="AJ39" i="9" s="1"/>
  <c r="AJ40" i="9" s="1"/>
  <c r="AJ41" i="9" s="1"/>
  <c r="AJ42" i="9" s="1"/>
  <c r="AJ43" i="9" s="1"/>
  <c r="AJ44" i="9" s="1"/>
  <c r="AJ45" i="9" s="1"/>
  <c r="AJ46" i="9" s="1"/>
  <c r="AJ47" i="9" s="1"/>
  <c r="AJ48" i="9" s="1"/>
  <c r="AJ49" i="9" s="1"/>
  <c r="AJ50" i="9" s="1"/>
  <c r="AJ51" i="9" s="1"/>
  <c r="AJ52" i="9" s="1"/>
  <c r="AJ53" i="9" s="1"/>
  <c r="AJ54" i="9" s="1"/>
  <c r="AJ55" i="9" s="1"/>
  <c r="AJ56" i="9" s="1"/>
  <c r="AJ57" i="9" s="1"/>
  <c r="AJ58" i="9" s="1"/>
  <c r="AJ59" i="9" s="1"/>
  <c r="AJ60" i="9" s="1"/>
  <c r="AJ61" i="9" s="1"/>
  <c r="AI8" i="9"/>
  <c r="AI9" i="9" s="1"/>
  <c r="AI10" i="9" s="1"/>
  <c r="AI11" i="9" s="1"/>
  <c r="Q4" i="9"/>
  <c r="P4" i="9"/>
  <c r="V25" i="8"/>
  <c r="V26" i="8" s="1"/>
  <c r="V27" i="8" s="1"/>
  <c r="V28" i="8" s="1"/>
  <c r="V29" i="8" s="1"/>
  <c r="M26" i="8"/>
  <c r="M27" i="8" s="1"/>
  <c r="M28" i="8" s="1"/>
  <c r="M29" i="8" s="1"/>
  <c r="U24" i="8"/>
  <c r="U25" i="8" s="1"/>
  <c r="U26" i="8" s="1"/>
  <c r="U27" i="8" s="1"/>
  <c r="L25" i="8"/>
  <c r="L26" i="8" s="1"/>
  <c r="L27" i="8" s="1"/>
  <c r="L28" i="8" s="1"/>
  <c r="L29" i="8" s="1"/>
  <c r="X27" i="8"/>
  <c r="K24" i="8"/>
  <c r="K25" i="8" s="1"/>
  <c r="K26" i="8" s="1"/>
  <c r="K27" i="8" s="1"/>
  <c r="N27" i="8"/>
  <c r="J20" i="7"/>
  <c r="N28" i="8"/>
  <c r="N29" i="8" s="1"/>
  <c r="X28" i="8"/>
  <c r="X29" i="8" s="1"/>
  <c r="W26" i="8"/>
  <c r="W27" i="8" s="1"/>
  <c r="W28" i="8" s="1"/>
  <c r="W29" i="8" s="1"/>
  <c r="AG6" i="9"/>
  <c r="AG7" i="9" s="1"/>
  <c r="AG8" i="9" s="1"/>
  <c r="AG9" i="9" s="1"/>
  <c r="AG10" i="9" s="1"/>
  <c r="AG11" i="9" s="1"/>
  <c r="P5" i="9" l="1"/>
  <c r="M17" i="7"/>
  <c r="M18" i="7"/>
  <c r="K20" i="7"/>
  <c r="J19" i="7"/>
  <c r="J30" i="7" s="1"/>
  <c r="P6" i="9"/>
  <c r="K19" i="7"/>
  <c r="K30" i="7" s="1"/>
  <c r="AI12" i="9"/>
  <c r="AI13" i="9" s="1"/>
  <c r="AI14" i="9" s="1"/>
  <c r="AI15" i="9" s="1"/>
  <c r="AI16" i="9" s="1"/>
  <c r="AI17" i="9" s="1"/>
  <c r="AI18" i="9" s="1"/>
  <c r="AI19" i="9" s="1"/>
  <c r="AI20" i="9" s="1"/>
  <c r="AI21" i="9" s="1"/>
  <c r="AI22" i="9" s="1"/>
  <c r="AI23" i="9" s="1"/>
  <c r="AI24" i="9" s="1"/>
  <c r="AI25" i="9" s="1"/>
  <c r="AI26" i="9" s="1"/>
  <c r="AI27" i="9" s="1"/>
  <c r="AI28" i="9" s="1"/>
  <c r="AI29" i="9" s="1"/>
  <c r="AI30" i="9" s="1"/>
  <c r="AI31" i="9" s="1"/>
  <c r="AI32" i="9" s="1"/>
  <c r="AI33" i="9" s="1"/>
  <c r="AI34" i="9" s="1"/>
  <c r="AI35" i="9" s="1"/>
  <c r="AI36" i="9" s="1"/>
  <c r="AI37" i="9" s="1"/>
  <c r="AI38" i="9" s="1"/>
  <c r="AI39" i="9" s="1"/>
  <c r="AI40" i="9" s="1"/>
  <c r="AI41" i="9" s="1"/>
  <c r="AI42" i="9" s="1"/>
  <c r="AI43" i="9" s="1"/>
  <c r="AI44" i="9" s="1"/>
  <c r="AI45" i="9" s="1"/>
  <c r="AI46" i="9" s="1"/>
  <c r="AI47" i="9" s="1"/>
  <c r="AI48" i="9" s="1"/>
  <c r="AI49" i="9" s="1"/>
  <c r="AI50" i="9" s="1"/>
  <c r="AI51" i="9" s="1"/>
  <c r="AI52" i="9" s="1"/>
  <c r="AI53" i="9" s="1"/>
  <c r="AI54" i="9" s="1"/>
  <c r="AI55" i="9" s="1"/>
  <c r="AI56" i="9" s="1"/>
  <c r="AI57" i="9" s="1"/>
  <c r="AI58" i="9" s="1"/>
  <c r="AI59" i="9" s="1"/>
  <c r="AI60" i="9" s="1"/>
  <c r="AI61" i="9" s="1"/>
  <c r="AG12" i="9"/>
  <c r="AG13" i="9" s="1"/>
  <c r="AG14" i="9" s="1"/>
  <c r="AG15" i="9" s="1"/>
  <c r="AG16" i="9" s="1"/>
  <c r="AG17" i="9" s="1"/>
  <c r="AG18" i="9" s="1"/>
  <c r="AG19" i="9" s="1"/>
  <c r="AG20" i="9" s="1"/>
  <c r="AG21" i="9" s="1"/>
  <c r="AG22" i="9" s="1"/>
  <c r="AG23" i="9" s="1"/>
  <c r="AG24" i="9" s="1"/>
  <c r="AG25" i="9" s="1"/>
  <c r="AG26" i="9" s="1"/>
  <c r="AG27" i="9" s="1"/>
  <c r="AG28" i="9" s="1"/>
  <c r="AG29" i="9" s="1"/>
  <c r="AG30" i="9" s="1"/>
  <c r="AG31" i="9" s="1"/>
  <c r="AG32" i="9" s="1"/>
  <c r="AG33" i="9" s="1"/>
  <c r="AG34" i="9" s="1"/>
  <c r="AG35" i="9" s="1"/>
  <c r="AG36" i="9" s="1"/>
  <c r="AG37" i="9" s="1"/>
  <c r="AG38" i="9" s="1"/>
  <c r="AG39" i="9" s="1"/>
  <c r="AG40" i="9" s="1"/>
  <c r="AG41" i="9" s="1"/>
  <c r="AG42" i="9" s="1"/>
  <c r="AG43" i="9" s="1"/>
  <c r="AG44" i="9" s="1"/>
  <c r="AG45" i="9" s="1"/>
  <c r="AG46" i="9" s="1"/>
  <c r="AG47" i="9" s="1"/>
  <c r="AG48" i="9" s="1"/>
  <c r="AG49" i="9" s="1"/>
  <c r="AG50" i="9" s="1"/>
  <c r="AG51" i="9" s="1"/>
  <c r="AG52" i="9" s="1"/>
  <c r="AG53" i="9" s="1"/>
  <c r="AG54" i="9" s="1"/>
  <c r="AG55" i="9" s="1"/>
  <c r="AG56" i="9" s="1"/>
  <c r="AG57" i="9" s="1"/>
  <c r="AG58" i="9" s="1"/>
  <c r="AG59" i="9" s="1"/>
  <c r="AG60" i="9" s="1"/>
  <c r="AG61" i="9" s="1"/>
  <c r="Q27" i="8"/>
  <c r="K28" i="8"/>
  <c r="AA27" i="8"/>
  <c r="U28" i="8"/>
  <c r="J21" i="7" l="1"/>
  <c r="J22" i="7" s="1"/>
  <c r="J23" i="7" s="1"/>
  <c r="J24" i="7" s="1"/>
  <c r="J31" i="7" s="1"/>
  <c r="K21" i="7"/>
  <c r="K22" i="7" s="1"/>
  <c r="K29" i="8"/>
  <c r="U29" i="8"/>
  <c r="P8" i="9" l="1"/>
  <c r="J26" i="7"/>
  <c r="K23" i="7"/>
  <c r="K24" i="7" s="1"/>
  <c r="K31" i="7" l="1"/>
  <c r="K32" i="7" s="1"/>
  <c r="F3" i="8" s="1"/>
  <c r="J27" i="7"/>
  <c r="J32" i="7"/>
  <c r="E3" i="8" s="1"/>
  <c r="K26" i="7"/>
  <c r="M26" i="7" s="1"/>
  <c r="Q8" i="9"/>
  <c r="E5" i="8" l="1"/>
  <c r="E6" i="8" s="1"/>
  <c r="E12" i="8"/>
  <c r="E19" i="8"/>
  <c r="K23" i="8" s="1"/>
  <c r="Q23" i="8" s="1"/>
  <c r="F19" i="8"/>
  <c r="F5" i="8"/>
  <c r="F6" i="8" s="1"/>
  <c r="K27" i="7"/>
  <c r="M27" i="7" s="1"/>
  <c r="N26" i="7"/>
  <c r="N27" i="7" s="1"/>
  <c r="P29" i="8" l="1"/>
  <c r="E31" i="8"/>
  <c r="E21" i="8"/>
  <c r="E22" i="8" s="1"/>
  <c r="N26" i="8"/>
  <c r="Q26" i="8" s="1"/>
  <c r="J22" i="8"/>
  <c r="J23" i="8" s="1"/>
  <c r="M25" i="8"/>
  <c r="Q25" i="8" s="1"/>
  <c r="L24" i="8"/>
  <c r="Q24" i="8" s="1"/>
  <c r="E9" i="8"/>
  <c r="E8" i="8"/>
  <c r="F12" i="8" s="1"/>
  <c r="I16" i="8" s="1"/>
  <c r="I17" i="8" s="1"/>
  <c r="E7" i="8"/>
  <c r="F8" i="8"/>
  <c r="F7" i="8"/>
  <c r="F9" i="8"/>
  <c r="T22" i="8"/>
  <c r="X26" i="8"/>
  <c r="AA26" i="8" s="1"/>
  <c r="T34" i="8"/>
  <c r="V24" i="8"/>
  <c r="AA24" i="8" s="1"/>
  <c r="F31" i="8"/>
  <c r="W25" i="8"/>
  <c r="AA25" i="8" s="1"/>
  <c r="F21" i="8"/>
  <c r="F22" i="8" s="1"/>
  <c r="U34" i="8"/>
  <c r="J34" i="8"/>
  <c r="Z29" i="8"/>
  <c r="U23" i="8"/>
  <c r="AA23" i="8" s="1"/>
  <c r="K34" i="8"/>
  <c r="J24" i="8"/>
  <c r="E10" i="8" l="1"/>
  <c r="Y29" i="8"/>
  <c r="AA29" i="8" s="1"/>
  <c r="O28" i="8"/>
  <c r="Q28" i="8" s="1"/>
  <c r="O29" i="8"/>
  <c r="Q29" i="8" s="1"/>
  <c r="T23" i="8"/>
  <c r="T24" i="8" s="1"/>
  <c r="F10" i="8"/>
  <c r="Y28" i="8"/>
  <c r="AA28" i="8" s="1"/>
  <c r="J25" i="8"/>
  <c r="F13" i="8" l="1"/>
  <c r="K34" i="7"/>
  <c r="E13" i="8"/>
  <c r="J34" i="7"/>
  <c r="J35" i="7" s="1"/>
  <c r="J36" i="7" s="1"/>
  <c r="T25" i="8"/>
  <c r="T26" i="8" s="1"/>
  <c r="K33" i="7"/>
  <c r="J26" i="8"/>
  <c r="T28" i="8" l="1"/>
  <c r="T29" i="8" s="1"/>
  <c r="Q9" i="9"/>
  <c r="K35" i="7"/>
  <c r="M35" i="7" s="1"/>
  <c r="J28" i="8"/>
  <c r="F27" i="8" l="1"/>
  <c r="F24" i="8"/>
  <c r="F23" i="8"/>
  <c r="F26" i="8"/>
  <c r="F28" i="8"/>
  <c r="F29" i="8"/>
  <c r="F32" i="8" s="1"/>
  <c r="F25" i="8"/>
  <c r="K36" i="7"/>
  <c r="M36" i="7" s="1"/>
  <c r="Q10" i="9"/>
  <c r="X3" i="9" s="1"/>
  <c r="J29" i="8"/>
  <c r="E29" i="8" s="1"/>
  <c r="J33" i="7" l="1"/>
  <c r="E27" i="8"/>
  <c r="E28" i="8"/>
  <c r="E25" i="8"/>
  <c r="E26" i="8"/>
  <c r="E32" i="8"/>
  <c r="E24" i="8"/>
  <c r="E23" i="8"/>
  <c r="P9" i="9" l="1"/>
  <c r="P10" i="9" l="1"/>
  <c r="W3" i="9" s="1"/>
  <c r="N35" i="7"/>
  <c r="O23" i="9"/>
  <c r="O22" i="9" l="1"/>
  <c r="N3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<sst xmlns="http://schemas.openxmlformats.org/spreadsheetml/2006/main" count="252" uniqueCount="208">
  <si>
    <t xml:space="preserve">
</t>
  </si>
  <si>
    <t>Client data</t>
  </si>
  <si>
    <t>Test your strategies</t>
  </si>
  <si>
    <t>Results - tax savings of crystallisation strategy</t>
  </si>
  <si>
    <t>1. Enter your current client data.</t>
  </si>
  <si>
    <r>
      <t>(</t>
    </r>
    <r>
      <rPr>
        <b/>
        <sz val="11"/>
        <rFont val="Open Sans"/>
        <family val="2"/>
      </rPr>
      <t>S</t>
    </r>
    <r>
      <rPr>
        <sz val="11"/>
        <rFont val="Open Sans"/>
        <family val="2"/>
      </rPr>
      <t>)ole or (</t>
    </r>
    <r>
      <rPr>
        <b/>
        <sz val="11"/>
        <rFont val="Open Sans"/>
        <family val="2"/>
      </rPr>
      <t>J</t>
    </r>
    <r>
      <rPr>
        <sz val="11"/>
        <rFont val="Open Sans"/>
        <family val="2"/>
      </rPr>
      <t>)oint  or (</t>
    </r>
    <r>
      <rPr>
        <b/>
        <sz val="11"/>
        <rFont val="Open Sans"/>
        <family val="2"/>
      </rPr>
      <t>W</t>
    </r>
    <r>
      <rPr>
        <sz val="11"/>
        <rFont val="Open Sans"/>
        <family val="2"/>
      </rPr>
      <t xml:space="preserve">)idow/er?
</t>
    </r>
    <r>
      <rPr>
        <sz val="8"/>
        <rFont val="Open Sans"/>
        <family val="2"/>
      </rPr>
      <t>Widow(er) will assume inherited spouse bands</t>
    </r>
  </si>
  <si>
    <t>S</t>
  </si>
  <si>
    <t>This will remove PCLS from your client's taxable estate after 7 years</t>
  </si>
  <si>
    <t>Life 1 current age</t>
  </si>
  <si>
    <t>Move PCLS of</t>
  </si>
  <si>
    <t>Life 1 gender (M/F)</t>
  </si>
  <si>
    <t>M</t>
  </si>
  <si>
    <t>Life 1 remaining available PCLS</t>
  </si>
  <si>
    <t>4. See the tax impact of making future pension withdrawals.</t>
  </si>
  <si>
    <t>Helps reduce client exposure to double taxation on death</t>
  </si>
  <si>
    <t>Withdrawals</t>
  </si>
  <si>
    <t>Nil rate band</t>
  </si>
  <si>
    <t>Life 1 gross pension withdrawals p.a.</t>
  </si>
  <si>
    <t>RNRB reduction</t>
  </si>
  <si>
    <t>RNRB value after reduction</t>
  </si>
  <si>
    <t>Check if RNRB restored here!</t>
  </si>
  <si>
    <t xml:space="preserve"> Increasing annually at</t>
  </si>
  <si>
    <t>Taxable estate after NRB/RNRB</t>
  </si>
  <si>
    <t>Other assets (2025)</t>
  </si>
  <si>
    <t>IHT payable</t>
  </si>
  <si>
    <t>2. Check the assumptions and amend them if required.</t>
  </si>
  <si>
    <t>Notes:</t>
  </si>
  <si>
    <t>Overwrite life expectancy? (Y/N)</t>
  </si>
  <si>
    <t>N</t>
  </si>
  <si>
    <t>1) Adjust these values to see if you regain any lost RNRB.</t>
  </si>
  <si>
    <t xml:space="preserve">2) Current and future IHT bands based on your assumptions in step two are shown below for reference. </t>
  </si>
  <si>
    <r>
      <t xml:space="preserve">Pension income tax – modelling death on/after post 75 </t>
    </r>
    <r>
      <rPr>
        <sz val="11"/>
        <rFont val="Open Sans"/>
        <family val="2"/>
      </rPr>
      <t>(double taxation impact )</t>
    </r>
  </si>
  <si>
    <t xml:space="preserve">Scottish income tax  (N/Y)  </t>
  </si>
  <si>
    <t>3) Pension withdrawals are subject to income tax.  Where the income tax on a current withdrawal is lower than the rate of IHT applicable there is a potential tax saving.  This is because there is less pension fund exposed to IHT.  The beneficiary’s income tax position will also impact on the amount of death benefit available.</t>
  </si>
  <si>
    <t>Pension % of IHT estate</t>
  </si>
  <si>
    <t>House left to lineal descendant? (Y/N)</t>
  </si>
  <si>
    <t>Y</t>
  </si>
  <si>
    <t>So, IHT payable on pensionable assets</t>
  </si>
  <si>
    <t>Pension net of IHT</t>
  </si>
  <si>
    <t>Based on pension taken as a lump sum to beneficiary</t>
  </si>
  <si>
    <t>ISA/Pension growth rate pa (after charges)</t>
  </si>
  <si>
    <t>Final net estate - legacy boost</t>
  </si>
  <si>
    <t>RNRB per person</t>
  </si>
  <si>
    <t>IHT bands inflate again at CPI  from</t>
  </si>
  <si>
    <t>RNRB taper threshold</t>
  </si>
  <si>
    <t>IHT rate</t>
  </si>
  <si>
    <t>ENG/WAL/NI Income Tax Calc</t>
  </si>
  <si>
    <t>Bands</t>
  </si>
  <si>
    <t>Nil Rate Band</t>
  </si>
  <si>
    <t>Personal Allowance</t>
  </si>
  <si>
    <t>RNRB per Person</t>
  </si>
  <si>
    <t>Taxable Income</t>
  </si>
  <si>
    <t>Basic Rate Tax</t>
  </si>
  <si>
    <t>RNRB Taper Threshold</t>
  </si>
  <si>
    <t xml:space="preserve">Higher Rate Tax </t>
  </si>
  <si>
    <t>IHT Rate</t>
  </si>
  <si>
    <t>Additional Rate Tax</t>
  </si>
  <si>
    <t>Total Income Tax</t>
  </si>
  <si>
    <t>Projection Term</t>
  </si>
  <si>
    <t>Checks via:</t>
  </si>
  <si>
    <t>Highest Tax Band</t>
  </si>
  <si>
    <t>Income Tax calculator – TaxScouts</t>
  </si>
  <si>
    <t>Tax Rate</t>
  </si>
  <si>
    <t>Your estimated take-home pay - PAYE Tax Calculator - GOV.UK</t>
  </si>
  <si>
    <t>Taper starts</t>
  </si>
  <si>
    <t>Scottish Income Tax Calc</t>
  </si>
  <si>
    <t xml:space="preserve">   </t>
  </si>
  <si>
    <t>GS Note - had to break up the Scottish Income Tax Calc - so orange applies to pre and blue applies to post PCLS Transfer</t>
  </si>
  <si>
    <t>Which Band</t>
  </si>
  <si>
    <t>Starter Rate</t>
  </si>
  <si>
    <t xml:space="preserve"> Basic Rate</t>
  </si>
  <si>
    <t>Intermediate Rate</t>
  </si>
  <si>
    <t>Higher Rate</t>
  </si>
  <si>
    <t>Advanced Rate</t>
  </si>
  <si>
    <t>Top Rate</t>
  </si>
  <si>
    <t>Total</t>
  </si>
  <si>
    <t>Scottish Basic Rate</t>
  </si>
  <si>
    <t>XLOOKUP switched to Index Match for external use</t>
  </si>
  <si>
    <t>Taper Adjustment</t>
  </si>
  <si>
    <t>GS Working Macro used to define Scottish Tax above as this sheet has no macros</t>
  </si>
  <si>
    <t xml:space="preserve">    starterRateThreshold = 15397 '14876</t>
  </si>
  <si>
    <t xml:space="preserve">    basicRateThreshold = 27491 '26561</t>
  </si>
  <si>
    <t xml:space="preserve">    intermediateRateThreshold = 43662</t>
  </si>
  <si>
    <t xml:space="preserve">    higherRateThreshold = 75000</t>
  </si>
  <si>
    <t xml:space="preserve">    advancedRateThreshold = 125141</t>
  </si>
  <si>
    <t xml:space="preserve">    </t>
  </si>
  <si>
    <t xml:space="preserve">    ' Calculate tax based on income</t>
  </si>
  <si>
    <t xml:space="preserve">    If income &lt;= personalAllowance Then</t>
  </si>
  <si>
    <t xml:space="preserve">        ' No tax if income is below personal allowance</t>
  </si>
  <si>
    <t xml:space="preserve">        tax = 0</t>
  </si>
  <si>
    <t xml:space="preserve">    ElseIf income &lt;= starterRateThreshold Then</t>
  </si>
  <si>
    <t xml:space="preserve">        ' starter rate (19%) for income between personal allowance and starter rate threshold</t>
  </si>
  <si>
    <t xml:space="preserve">        tax = (income - personalAllowance) * 0.19</t>
  </si>
  <si>
    <t xml:space="preserve">    ElseIf income &lt;= basicRateThreshold Then</t>
  </si>
  <si>
    <t xml:space="preserve">        ' basic rate (20%) for income between starter rate threshold and basic rate threshold</t>
  </si>
  <si>
    <t xml:space="preserve">        </t>
  </si>
  <si>
    <t xml:space="preserve">         tax = (starterRateThreshold - personalAllowance) * 0.19 + (income - starterRateThreshold) * 0.2</t>
  </si>
  <si>
    <t xml:space="preserve">      ElseIf income &lt;= intermediateRateThreshold Then</t>
  </si>
  <si>
    <t xml:space="preserve">        tax = (starterRateThreshold - personalAllowance) * 0.19 + (basicRateThreshold - starterRateThreshold) * 0.2 + (income - basicRateThreshold) * 0.21</t>
  </si>
  <si>
    <t xml:space="preserve">       ElseIf income &lt;= higherRateThreshold Then</t>
  </si>
  <si>
    <t xml:space="preserve">       tax = (starterRateThreshold - personalAllowance) * 0.19 + (basicRateThreshold - starterRateThreshold) * 0.2 + (intermediateRateThreshold - basicRateThreshold) * 0.21 + (income - intermediateRateThreshold) * 0.42</t>
  </si>
  <si>
    <t xml:space="preserve">     ElseIf income &lt;= advancedRateThreshold Then</t>
  </si>
  <si>
    <t xml:space="preserve">        If income &gt; 100000 Then</t>
  </si>
  <si>
    <t xml:space="preserve">          personalAllowanceAdj = (income - 100000) / 2</t>
  </si>
  <si>
    <t xml:space="preserve">        End If</t>
  </si>
  <si>
    <t xml:space="preserve">         </t>
  </si>
  <si>
    <t xml:space="preserve">         tax = (starterRateThreshold - personalAllowance) * 0.19 + (basicRateThreshold - starterRateThreshold) * 0.2 + (intermediateRateThreshold - basicRateThreshold) * 0.21 + (higherRateThreshold - intermediateRateThreshold) * 0.42 + (income - higherRateThreshold + personalAllowanceAdj) * 0.45</t>
  </si>
  <si>
    <t xml:space="preserve">                  </t>
  </si>
  <si>
    <t xml:space="preserve">    Else</t>
  </si>
  <si>
    <t xml:space="preserve">        ' top rate (48%) for income above advnced rate threshold</t>
  </si>
  <si>
    <t xml:space="preserve">             tax = (starterRateThreshold - personalAllowance) * 0.19 + (basicRateThreshold - starterRateThreshold) * 0.2 + (intermediateRateThreshold - basicRateThreshold) * 0.21 + (higherRateThreshold - intermediateRateThreshold) * 0.42 + (advancedRateThreshold - higherRateThreshold + personalAllowance) * 0.45 + (income - advancedRateThreshold) * 0.48</t>
  </si>
  <si>
    <t xml:space="preserve">                        </t>
  </si>
  <si>
    <t xml:space="preserve">         End If</t>
  </si>
  <si>
    <t>ScotTax = tax</t>
  </si>
  <si>
    <t>End Function</t>
  </si>
  <si>
    <t>Dropdown Choices</t>
  </si>
  <si>
    <t>Results table for check to the right</t>
  </si>
  <si>
    <t>Start</t>
  </si>
  <si>
    <t>End</t>
  </si>
  <si>
    <t>End2</t>
  </si>
  <si>
    <t>Table to sight check withdrawal calcs and projections formulae used in Calcs</t>
  </si>
  <si>
    <t>Withdrawals Escalation</t>
  </si>
  <si>
    <t>CPI</t>
  </si>
  <si>
    <t>Year</t>
  </si>
  <si>
    <t>Sinlge/Joint</t>
  </si>
  <si>
    <t>J</t>
  </si>
  <si>
    <t>W</t>
  </si>
  <si>
    <t>Value</t>
  </si>
  <si>
    <t>Wtihdrawals Delay</t>
  </si>
  <si>
    <t>Years from now</t>
  </si>
  <si>
    <t>Withdrawal1</t>
  </si>
  <si>
    <t>Withdrawal2</t>
  </si>
  <si>
    <t>Pension1</t>
  </si>
  <si>
    <t>Pension2</t>
  </si>
  <si>
    <t>Bond (£k)</t>
  </si>
  <si>
    <t>Yes/No</t>
  </si>
  <si>
    <t>Time</t>
  </si>
  <si>
    <t>Gender</t>
  </si>
  <si>
    <t>F</t>
  </si>
  <si>
    <t>IHT Payable</t>
  </si>
  <si>
    <t>Parameters</t>
  </si>
  <si>
    <t xml:space="preserve">IHT Dates </t>
  </si>
  <si>
    <t>RNRB Per Person</t>
  </si>
  <si>
    <t xml:space="preserve">RNRBTaper </t>
  </si>
  <si>
    <t>Calcs</t>
  </si>
  <si>
    <t>Current Year</t>
  </si>
  <si>
    <t>Life 1  Withdrawals</t>
  </si>
  <si>
    <t>Life 2  Withdrawals</t>
  </si>
  <si>
    <r>
      <t>Figures For</t>
    </r>
    <r>
      <rPr>
        <b/>
        <sz val="9"/>
        <color rgb="FF00B050"/>
        <rFont val="Open Sans"/>
        <family val="2"/>
      </rPr>
      <t xml:space="preserve"> Bar Chart</t>
    </r>
    <r>
      <rPr>
        <b/>
        <sz val="9"/>
        <color theme="0"/>
        <rFont val="Open Sans"/>
        <family val="2"/>
      </rPr>
      <t xml:space="preserve"> on Front Sheet</t>
    </r>
  </si>
  <si>
    <t>CIB into Trust gives increase of</t>
  </si>
  <si>
    <t>Never</t>
  </si>
  <si>
    <t>National life tables: UK - Office for National Statistics</t>
  </si>
  <si>
    <t>National Life Tables, United Kingdom, period expectation of life, based on data for the years 2021-2023</t>
  </si>
  <si>
    <t>https://www.ons.gov.uk/file?uri=/peoplepopulationandcommunity/birthsdeathsandmarriages/lifeexpectancies/datasets/nationallifetablesunitedkingdomreferencetables/current/nltuk198020213.xlsx</t>
  </si>
  <si>
    <t>This worksheet contains two tables, presented horizontally with one blank column in between the tables.</t>
  </si>
  <si>
    <t>Age 1</t>
  </si>
  <si>
    <t>Age 2</t>
  </si>
  <si>
    <t>This worksheet uses notation in the column headers, please see the notation worksheet for explanations.</t>
  </si>
  <si>
    <t>Gender1</t>
  </si>
  <si>
    <t>Gender2</t>
  </si>
  <si>
    <t>Calculation Result for Jt Life Expectancy</t>
  </si>
  <si>
    <t>Life Expectancy</t>
  </si>
  <si>
    <t>Jt Life</t>
  </si>
  <si>
    <t>Males</t>
  </si>
  <si>
    <t>Females</t>
  </si>
  <si>
    <t>Til Age</t>
  </si>
  <si>
    <t>age</t>
  </si>
  <si>
    <t>mx</t>
  </si>
  <si>
    <t>qx</t>
  </si>
  <si>
    <t>lx</t>
  </si>
  <si>
    <t>dx</t>
  </si>
  <si>
    <t>ex</t>
  </si>
  <si>
    <t>Calculations</t>
  </si>
  <si>
    <t>Life 1 alive</t>
  </si>
  <si>
    <t>lx life1</t>
  </si>
  <si>
    <t>Life 1 dead</t>
  </si>
  <si>
    <t>Life 2 alive</t>
  </si>
  <si>
    <t>lx life2</t>
  </si>
  <si>
    <t>Life 2 dead</t>
  </si>
  <si>
    <t>Prob both dead</t>
  </si>
  <si>
    <t>Prob one alive</t>
  </si>
  <si>
    <t>Date</t>
  </si>
  <si>
    <t>Version (paste value from L1)</t>
  </si>
  <si>
    <t>Who</t>
  </si>
  <si>
    <t>Changes</t>
  </si>
  <si>
    <t>Gary Smith</t>
  </si>
  <si>
    <t>Initial Build</t>
  </si>
  <si>
    <t>Increased Data Validation of Cells</t>
  </si>
  <si>
    <t>Locking down with passwords , and very hidden sheets</t>
  </si>
  <si>
    <t>Hide tabs</t>
  </si>
  <si>
    <t>Green means this cashflow check ties up with the Actuarial Formula in Calcs</t>
  </si>
  <si>
    <t xml:space="preserve">Bond tax calculated at </t>
  </si>
  <si>
    <t>N:\Product Management\Platform\Projects\2023-03 Pathfinder Replacement\Roody Tool\[250907 Estate Planning Post Design Team.xlsx]</t>
  </si>
  <si>
    <t>Net estate (before pension income tax)</t>
  </si>
  <si>
    <t>L1INCP</t>
  </si>
  <si>
    <t>L2INCP</t>
  </si>
  <si>
    <t>Your Client Reference</t>
  </si>
  <si>
    <t>Assets/investments growth rate</t>
  </si>
  <si>
    <t>I have read and understood</t>
  </si>
  <si>
    <t>Please read "important information about this tool" below</t>
  </si>
  <si>
    <t>3. See the eventual tax impact of moving your client's available PCLS into an IHT efficient trust to remove it from their estate</t>
  </si>
  <si>
    <r>
      <t xml:space="preserve">Pension crystallisation tool </t>
    </r>
    <r>
      <rPr>
        <b/>
        <sz val="12"/>
        <color theme="1"/>
        <rFont val="Open Sans"/>
        <family val="2"/>
      </rPr>
      <t xml:space="preserve">  </t>
    </r>
  </si>
  <si>
    <t xml:space="preserve"> For financial adviser use only</t>
  </si>
  <si>
    <t>Future CPI inflation rate p.a.</t>
  </si>
  <si>
    <t>House value growth rate p.a.</t>
  </si>
  <si>
    <t>Cash growth rate p.a.</t>
  </si>
  <si>
    <t>Effective income tax rate for beneficiaries</t>
  </si>
  <si>
    <t>Pension beneficiary income tax payable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</si>
</sst>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4" formatCode="_-&quot;£&quot;* #,##0.00_-;\-&quot;£&quot;* #,##0.00_-;_-&quot;£&quot;* &quot;-&quot;??_-;_-@_-"/>
    <numFmt numFmtId="43" formatCode="_-* #,##0.00_-;\-* #,##0.00_-;_-* &quot;-&quot;??_-;_-@_-"/>
    <numFmt numFmtId="164" formatCode="_-* #,##0_-;\-* #,##0_-;_-* &quot;-&quot;??_-;_-@_-"/>
    <numFmt numFmtId="165" formatCode="_-&quot;£&quot;* #,##0_-;\-&quot;£&quot;* #,##0_-;_-&quot;£&quot;* &quot;-&quot;??_-;_-@_-"/>
    <numFmt numFmtId="166" formatCode="0.0%"/>
    <numFmt numFmtId="167" formatCode="&quot;£&quot;#,##0\k;[Red]\-&quot;£&quot;#,##0\k"/>
    <numFmt numFmtId="168" formatCode="&quot;£&quot;#,##0"/>
    <numFmt numFmtId="169" formatCode="0_ ;\-0\ "/>
    <numFmt numFmtId="170" formatCode="&quot;£&quot;0.00&quot;m&quot;"/>
  </numFmts>
  <fonts count="58" x14ac:knownFonts="1">
    <font>
      <sz val="11"/>
      <color theme="1"/>
      <name val="Calibri"/>
      <family val="2"/>
      <scheme val="minor"/>
    </font>
    <font>
      <b/>
      <sz val="11"/>
      <color theme="1"/>
      <name val="Calibri"/>
      <family val="2"/>
      <scheme val="minor"/>
    </font>
    <font>
      <sz val="11"/>
      <color theme="1"/>
      <name val="Calibri"/>
      <family val="2"/>
      <scheme val="minor"/>
    </font>
    <font>
      <sz val="11"/>
      <color theme="0"/>
      <name val="Calibri"/>
      <family val="2"/>
      <scheme val="minor"/>
    </font>
    <font>
      <b/>
      <sz val="11"/>
      <color rgb="FFFF0000"/>
      <name val="Calibri"/>
      <family val="2"/>
      <scheme val="minor"/>
    </font>
    <font>
      <b/>
      <sz val="9"/>
      <color theme="1" tint="0.249977111117893"/>
      <name val="Calibri"/>
      <family val="2"/>
      <scheme val="minor"/>
    </font>
    <font>
      <sz val="9"/>
      <color theme="1" tint="0.249977111117893"/>
      <name val="Calibri"/>
      <family val="2"/>
      <scheme val="minor"/>
    </font>
    <font>
      <sz val="11"/>
      <color rgb="FFFF0000"/>
      <name val="Calibri"/>
      <family val="2"/>
      <scheme val="minor"/>
    </font>
    <font>
      <b/>
      <sz val="11"/>
      <name val="Open Sans"/>
      <family val="2"/>
    </font>
    <font>
      <b/>
      <sz val="12"/>
      <name val="Open Sans"/>
      <family val="2"/>
    </font>
    <font>
      <sz val="11"/>
      <color theme="1"/>
      <name val="Open Sans"/>
      <family val="2"/>
    </font>
    <font>
      <b/>
      <sz val="20"/>
      <color rgb="FF0F7B3F"/>
      <name val="Open Sans"/>
      <family val="2"/>
    </font>
    <font>
      <b/>
      <sz val="11"/>
      <color theme="1"/>
      <name val="Open Sans"/>
      <family val="2"/>
    </font>
    <font>
      <b/>
      <sz val="14"/>
      <name val="Open Sans"/>
      <family val="2"/>
    </font>
    <font>
      <b/>
      <sz val="12"/>
      <color rgb="FF0F7B3F"/>
      <name val="Open Sans"/>
      <family val="2"/>
    </font>
    <font>
      <sz val="11"/>
      <color theme="0"/>
      <name val="Open Sans"/>
      <family val="2"/>
    </font>
    <font>
      <i/>
      <sz val="11"/>
      <color theme="1"/>
      <name val="Open Sans"/>
      <family val="2"/>
    </font>
    <font>
      <sz val="11"/>
      <color theme="1" tint="0.249977111117893"/>
      <name val="Open Sans"/>
      <family val="2"/>
    </font>
    <font>
      <sz val="11"/>
      <name val="Open Sans"/>
      <family val="2"/>
    </font>
    <font>
      <sz val="9"/>
      <color theme="1" tint="0.249977111117893"/>
      <name val="Open Sans"/>
      <family val="2"/>
    </font>
    <font>
      <b/>
      <sz val="11"/>
      <color theme="0"/>
      <name val="Open Sans"/>
      <family val="2"/>
    </font>
    <font>
      <b/>
      <sz val="10"/>
      <color theme="0"/>
      <name val="Open Sans"/>
      <family val="2"/>
    </font>
    <font>
      <b/>
      <sz val="11"/>
      <color rgb="FF0F7B3F"/>
      <name val="Open Sans"/>
      <family val="2"/>
    </font>
    <font>
      <b/>
      <sz val="12"/>
      <color rgb="FFFF0000"/>
      <name val="Open Sans"/>
      <family val="2"/>
    </font>
    <font>
      <sz val="12"/>
      <color theme="1"/>
      <name val="Open Sans"/>
      <family val="2"/>
    </font>
    <font>
      <i/>
      <sz val="12"/>
      <color theme="1"/>
      <name val="Open Sans"/>
      <family val="2"/>
    </font>
    <font>
      <i/>
      <sz val="12"/>
      <color rgb="FFFF0000"/>
      <name val="Open Sans"/>
      <family val="2"/>
    </font>
    <font>
      <b/>
      <sz val="12"/>
      <color theme="0"/>
      <name val="Open Sans"/>
      <family val="2"/>
    </font>
    <font>
      <sz val="26"/>
      <color theme="1"/>
      <name val="Open Sans"/>
      <family val="2"/>
    </font>
    <font>
      <b/>
      <sz val="18"/>
      <color theme="0"/>
      <name val="Open Sans"/>
      <family val="2"/>
    </font>
    <font>
      <b/>
      <sz val="15"/>
      <color theme="3"/>
      <name val="Arial"/>
      <family val="2"/>
    </font>
    <font>
      <sz val="10"/>
      <name val="Arial"/>
      <family val="2"/>
    </font>
    <font>
      <sz val="12"/>
      <color theme="1"/>
      <name val="Arial"/>
      <family val="2"/>
    </font>
    <font>
      <sz val="8"/>
      <name val="Calibri"/>
      <family val="2"/>
      <scheme val="minor"/>
    </font>
    <font>
      <b/>
      <sz val="11"/>
      <color rgb="FF00B050"/>
      <name val="Open Sans"/>
      <family val="2"/>
    </font>
    <font>
      <b/>
      <sz val="22"/>
      <color theme="1"/>
      <name val="Open Sans"/>
      <family val="2"/>
    </font>
    <font>
      <u/>
      <sz val="11"/>
      <color theme="10"/>
      <name val="Calibri"/>
      <family val="2"/>
      <scheme val="minor"/>
    </font>
    <font>
      <sz val="8"/>
      <color theme="1"/>
      <name val="Open Sans"/>
      <family val="2"/>
    </font>
    <font>
      <sz val="11"/>
      <color rgb="FFFF0000"/>
      <name val="Open Sans"/>
      <family val="2"/>
    </font>
    <font>
      <b/>
      <sz val="14"/>
      <color rgb="FFFF0000"/>
      <name val="Open Sans"/>
      <family val="2"/>
    </font>
    <font>
      <i/>
      <sz val="11"/>
      <name val="Open Sans"/>
      <family val="2"/>
    </font>
    <font>
      <b/>
      <i/>
      <sz val="10"/>
      <color theme="0"/>
      <name val="Open Sans"/>
      <family val="2"/>
    </font>
    <font>
      <b/>
      <i/>
      <sz val="11"/>
      <color theme="0"/>
      <name val="Open Sans"/>
      <family val="2"/>
    </font>
    <font>
      <b/>
      <sz val="11"/>
      <color rgb="FFFF0000"/>
      <name val="Open Sans"/>
      <family val="2"/>
    </font>
    <font>
      <b/>
      <sz val="11"/>
      <color theme="0"/>
      <name val="Calibri"/>
      <family val="2"/>
      <scheme val="minor"/>
    </font>
    <font>
      <b/>
      <sz val="9"/>
      <color theme="0"/>
      <name val="Open Sans"/>
      <family val="2"/>
    </font>
    <font>
      <sz val="9"/>
      <color theme="0"/>
      <name val="Open Sans"/>
      <family val="2"/>
    </font>
    <font>
      <b/>
      <sz val="9"/>
      <color rgb="FF00B050"/>
      <name val="Open Sans"/>
      <family val="2"/>
    </font>
    <font>
      <b/>
      <i/>
      <sz val="11"/>
      <color theme="1"/>
      <name val="Open Sans"/>
      <family val="2"/>
    </font>
    <font>
      <b/>
      <sz val="16"/>
      <color theme="0"/>
      <name val="Calibri"/>
      <family val="2"/>
      <scheme val="minor"/>
    </font>
    <font>
      <sz val="11"/>
      <name val="Calibri"/>
      <family val="2"/>
      <scheme val="minor"/>
    </font>
    <font>
      <sz val="11"/>
      <color rgb="FFC00000"/>
      <name val="Calibri"/>
      <family val="2"/>
      <scheme val="minor"/>
    </font>
    <font>
      <sz val="8"/>
      <name val="Open Sans"/>
      <family val="2"/>
    </font>
    <font>
      <b/>
      <sz val="10.5"/>
      <color theme="0"/>
      <name val="Open Sans"/>
      <family val="2"/>
    </font>
    <font>
      <i/>
      <sz val="11"/>
      <color theme="1"/>
      <name val="Calibri"/>
      <family val="2"/>
      <scheme val="minor"/>
    </font>
    <font>
      <b/>
      <sz val="12"/>
      <color theme="1"/>
      <name val="Open Sans"/>
      <family val="2"/>
    </font>
    <font>
      <b/>
      <sz val="14"/>
      <color theme="1"/>
      <name val="Open Sans"/>
      <family val="2"/>
    </font>
    <font>
      <sz val="16"/>
      <color theme="0"/>
      <name val="Calibri"/>
      <family val="2"/>
      <scheme val="minor"/>
    </font>
  </fonts>
  <fills count="2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8"/>
        <bgColor indexed="64"/>
      </patternFill>
    </fill>
    <fill>
      <patternFill patternType="solid">
        <fgColor theme="0" tint="-0.249977111117893"/>
        <bgColor indexed="64"/>
      </patternFill>
    </fill>
    <fill>
      <patternFill patternType="solid">
        <fgColor theme="2"/>
        <bgColor indexed="64"/>
      </patternFill>
    </fill>
    <fill>
      <patternFill patternType="solid">
        <fgColor theme="2" tint="-9.9978637043366805E-2"/>
        <bgColor indexed="64"/>
      </patternFill>
    </fill>
    <fill>
      <patternFill patternType="solid">
        <fgColor rgb="FF000099"/>
        <bgColor indexed="64"/>
      </patternFill>
    </fill>
    <fill>
      <patternFill patternType="solid">
        <fgColor rgb="FFCCFFCC"/>
        <bgColor indexed="64"/>
      </patternFill>
    </fill>
    <fill>
      <patternFill patternType="solid">
        <fgColor rgb="FF006600"/>
        <bgColor indexed="64"/>
      </patternFill>
    </fill>
    <fill>
      <patternFill patternType="solid">
        <fgColor rgb="FFFFFFCC"/>
        <bgColor indexed="64"/>
      </patternFill>
    </fill>
    <fill>
      <patternFill patternType="solid">
        <fgColor rgb="FFCC99FF"/>
        <bgColor indexed="64"/>
      </patternFill>
    </fill>
    <fill>
      <patternFill patternType="solid">
        <fgColor rgb="FFFF3399"/>
        <bgColor indexed="64"/>
      </patternFill>
    </fill>
    <fill>
      <patternFill patternType="solid">
        <fgColor rgb="FFFFCC99"/>
        <bgColor indexed="64"/>
      </patternFill>
    </fill>
    <fill>
      <patternFill patternType="solid">
        <fgColor theme="3" tint="0.749992370372631"/>
        <bgColor indexed="64"/>
      </patternFill>
    </fill>
    <fill>
      <patternFill patternType="solid">
        <fgColor theme="9" tint="0.59999389629810485"/>
        <bgColor indexed="64"/>
      </patternFill>
    </fill>
    <fill>
      <patternFill patternType="solid">
        <fgColor rgb="FFEABC63"/>
        <bgColor indexed="64"/>
      </patternFill>
    </fill>
    <fill>
      <patternFill patternType="solid">
        <fgColor rgb="FF81294C"/>
        <bgColor indexed="64"/>
      </patternFill>
    </fill>
    <fill>
      <patternFill patternType="solid">
        <fgColor rgb="FF0F7B3F"/>
        <bgColor indexed="64"/>
      </patternFill>
    </fill>
    <fill>
      <patternFill patternType="solid">
        <fgColor rgb="FFD9FBE8"/>
        <bgColor indexed="64"/>
      </patternFill>
    </fill>
  </fills>
  <borders count="49">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auto="1"/>
      </top>
      <bottom/>
      <diagonal/>
    </border>
    <border>
      <left/>
      <right/>
      <top/>
      <bottom style="thin">
        <color indexed="64"/>
      </bottom>
      <diagonal/>
    </border>
    <border>
      <left/>
      <right/>
      <top/>
      <bottom style="thick">
        <color theme="4"/>
      </bottom>
      <diagonal/>
    </border>
    <border>
      <left style="medium">
        <color theme="1"/>
      </left>
      <right style="medium">
        <color theme="1"/>
      </right>
      <top style="medium">
        <color theme="1"/>
      </top>
      <bottom style="medium">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style="thin">
        <color auto="1"/>
      </top>
      <bottom/>
      <diagonal/>
    </border>
    <border>
      <left style="thin">
        <color auto="1"/>
      </left>
      <right style="medium">
        <color indexed="64"/>
      </right>
      <top style="thin">
        <color auto="1"/>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indexed="64"/>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indexed="64"/>
      </left>
      <right/>
      <top/>
      <bottom/>
      <diagonal/>
    </border>
    <border>
      <left/>
      <right style="thin">
        <color indexed="64"/>
      </right>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s>
  <cellStyleXfs count="21">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30" fillId="0" borderId="15"/>
    <xf numFmtId="0" fontId="31" fillId="0" borderId="0"/>
    <xf numFmtId="0" fontId="32" fillId="0" borderId="0"/>
    <xf numFmtId="0" fontId="36" fillId="0" borderId="0" applyNumberFormat="0" applyFill="0" applyBorder="0" applyAlignment="0" applyProtection="0"/>
    <xf numFmtId="0" fontId="3" fillId="15" borderId="0" applyNumberFormat="0" applyBorder="0" applyAlignment="0" applyProtection="0"/>
    <xf numFmtId="0" fontId="2" fillId="16" borderId="0" applyNumberFormat="0" applyBorder="0" applyAlignment="0" applyProtection="0"/>
    <xf numFmtId="0" fontId="49" fillId="17" borderId="36" applyNumberFormat="0" applyBorder="0" applyAlignment="0" applyProtection="0">
      <alignment horizontal="center" wrapText="1"/>
      <protection locked="0"/>
    </xf>
    <xf numFmtId="0" fontId="2" fillId="18" borderId="0" applyNumberFormat="0" applyBorder="0" applyAlignment="0" applyProtection="0"/>
    <xf numFmtId="0" fontId="50" fillId="19" borderId="0" applyNumberFormat="0" applyBorder="0" applyAlignment="0" applyProtection="0"/>
    <xf numFmtId="0" fontId="3" fillId="20" borderId="1"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12" borderId="0" applyNumberFormat="0" applyBorder="0" applyAlignment="0" applyProtection="0"/>
    <xf numFmtId="0" fontId="2" fillId="5" borderId="36" applyNumberFormat="0" applyAlignment="0" applyProtection="0">
      <alignment horizontal="center"/>
    </xf>
    <xf numFmtId="10" fontId="2" fillId="0" borderId="36" applyNumberFormat="0" applyAlignment="0" applyProtection="0">
      <alignment horizontal="center"/>
    </xf>
    <xf numFmtId="0" fontId="2" fillId="23" borderId="0" applyNumberFormat="0" applyBorder="0" applyAlignment="0" applyProtection="0"/>
    <xf numFmtId="0" fontId="51" fillId="3" borderId="0" applyNumberFormat="0" applyBorder="0" applyAlignment="0" applyProtection="0"/>
  </cellStyleXfs>
  <cellXfs count="293">
    <xf numFmtId="0" fontId="0" fillId="0" borderId="0" xfId="0"/>
    <xf numFmtId="166" fontId="18" fillId="12" borderId="21" xfId="3" applyNumberFormat="1"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Protection="1">
      <protection hidden="1"/>
    </xf>
    <xf numFmtId="0" fontId="48" fillId="0" borderId="0" xfId="0" applyFont="1" applyAlignment="1" applyProtection="1">
      <alignment horizontal="right" vertical="center"/>
      <protection hidden="1"/>
    </xf>
    <xf numFmtId="0" fontId="0" fillId="0" borderId="0" xfId="0" applyProtection="1">
      <protection hidden="1"/>
    </xf>
    <xf numFmtId="0" fontId="35" fillId="0" borderId="0" xfId="0" applyFont="1" applyProtection="1">
      <protection hidden="1"/>
    </xf>
    <xf numFmtId="0" fontId="11" fillId="3" borderId="0" xfId="0" applyFont="1" applyFill="1" applyAlignment="1" applyProtection="1">
      <alignment vertical="center" wrapText="1"/>
      <protection hidden="1"/>
    </xf>
    <xf numFmtId="0" fontId="11" fillId="0" borderId="0" xfId="0" applyFont="1" applyAlignment="1" applyProtection="1">
      <alignment vertical="center" wrapText="1"/>
      <protection hidden="1"/>
    </xf>
    <xf numFmtId="0" fontId="10" fillId="0" borderId="0" xfId="0" applyFont="1" applyAlignment="1" applyProtection="1">
      <alignment wrapText="1"/>
      <protection hidden="1"/>
    </xf>
    <xf numFmtId="0" fontId="29" fillId="0" borderId="0" xfId="0" applyFont="1" applyAlignment="1" applyProtection="1">
      <alignment horizontal="center" vertical="center"/>
      <protection hidden="1"/>
    </xf>
    <xf numFmtId="0" fontId="20" fillId="0" borderId="0" xfId="0" applyFont="1" applyAlignment="1" applyProtection="1">
      <alignment horizontal="center" vertical="center"/>
      <protection hidden="1"/>
    </xf>
    <xf numFmtId="0" fontId="18" fillId="0" borderId="8" xfId="0" applyFont="1" applyBorder="1" applyAlignment="1" applyProtection="1">
      <alignment horizontal="right" vertical="center" shrinkToFit="1"/>
      <protection hidden="1"/>
    </xf>
    <xf numFmtId="0" fontId="10" fillId="8" borderId="22" xfId="0" applyFont="1" applyFill="1" applyBorder="1" applyAlignment="1" applyProtection="1">
      <alignment horizontal="center" vertical="center"/>
      <protection locked="0" hidden="1"/>
    </xf>
    <xf numFmtId="0" fontId="8" fillId="27" borderId="46" xfId="0" applyFont="1" applyFill="1" applyBorder="1" applyAlignment="1" applyProtection="1">
      <alignment horizontal="center" vertical="center"/>
      <protection hidden="1"/>
    </xf>
    <xf numFmtId="0" fontId="12" fillId="0" borderId="0" xfId="0" applyFont="1" applyAlignment="1" applyProtection="1">
      <alignment horizontal="right"/>
      <protection hidden="1"/>
    </xf>
    <xf numFmtId="0" fontId="24" fillId="0" borderId="0" xfId="0" applyFont="1" applyProtection="1">
      <protection hidden="1"/>
    </xf>
    <xf numFmtId="0" fontId="18" fillId="0" borderId="8" xfId="0" applyFont="1" applyBorder="1" applyAlignment="1" applyProtection="1">
      <alignment horizontal="right" vertical="center" wrapText="1" shrinkToFit="1"/>
      <protection hidden="1"/>
    </xf>
    <xf numFmtId="0" fontId="10" fillId="8" borderId="21" xfId="0" applyFont="1" applyFill="1" applyBorder="1" applyAlignment="1" applyProtection="1">
      <alignment horizontal="center" vertical="center"/>
      <protection locked="0" hidden="1"/>
    </xf>
    <xf numFmtId="0" fontId="10" fillId="0" borderId="20" xfId="0" applyFont="1" applyBorder="1" applyAlignment="1" applyProtection="1">
      <alignment horizontal="right" vertical="center"/>
      <protection hidden="1"/>
    </xf>
    <xf numFmtId="6" fontId="10" fillId="0" borderId="1" xfId="1" applyNumberFormat="1" applyFont="1" applyBorder="1" applyAlignment="1" applyProtection="1">
      <alignment vertical="center"/>
      <protection hidden="1"/>
    </xf>
    <xf numFmtId="6" fontId="10" fillId="0" borderId="0" xfId="1" applyNumberFormat="1" applyFont="1" applyBorder="1" applyAlignment="1" applyProtection="1">
      <alignment vertical="center"/>
      <protection hidden="1"/>
    </xf>
    <xf numFmtId="0" fontId="25" fillId="0" borderId="0" xfId="0" applyFont="1" applyAlignment="1" applyProtection="1">
      <alignment horizontal="center"/>
      <protection hidden="1"/>
    </xf>
    <xf numFmtId="0" fontId="16" fillId="0" borderId="42" xfId="0" applyFont="1" applyBorder="1" applyAlignment="1" applyProtection="1">
      <alignment horizontal="center" vertical="center"/>
      <protection hidden="1"/>
    </xf>
    <xf numFmtId="0" fontId="12" fillId="0" borderId="43" xfId="0" applyFont="1" applyBorder="1" applyAlignment="1" applyProtection="1">
      <alignment horizontal="center" vertical="center" wrapText="1"/>
      <protection hidden="1"/>
    </xf>
    <xf numFmtId="0" fontId="10" fillId="0" borderId="42" xfId="0" applyFont="1" applyBorder="1" applyAlignment="1" applyProtection="1">
      <alignment horizontal="right" vertical="center"/>
      <protection hidden="1"/>
    </xf>
    <xf numFmtId="0" fontId="18" fillId="8" borderId="21" xfId="0" applyFont="1" applyFill="1" applyBorder="1" applyAlignment="1" applyProtection="1">
      <alignment horizontal="center" vertical="center"/>
      <protection locked="0" hidden="1"/>
    </xf>
    <xf numFmtId="0" fontId="10" fillId="0" borderId="42" xfId="0" applyFont="1" applyBorder="1" applyAlignment="1" applyProtection="1">
      <alignment horizontal="center" vertical="center"/>
      <protection hidden="1"/>
    </xf>
    <xf numFmtId="6" fontId="10" fillId="7" borderId="1" xfId="0" applyNumberFormat="1" applyFont="1" applyFill="1" applyBorder="1" applyAlignment="1" applyProtection="1">
      <alignment horizontal="center" vertical="center"/>
      <protection locked="0" hidden="1"/>
    </xf>
    <xf numFmtId="0" fontId="26" fillId="0" borderId="0" xfId="0" applyFont="1" applyAlignment="1" applyProtection="1">
      <alignment horizontal="center"/>
      <protection hidden="1"/>
    </xf>
    <xf numFmtId="0" fontId="38" fillId="0" borderId="42" xfId="0" applyFont="1" applyBorder="1" applyAlignment="1" applyProtection="1">
      <alignment horizontal="center" vertical="center"/>
      <protection hidden="1"/>
    </xf>
    <xf numFmtId="0" fontId="10" fillId="0" borderId="43" xfId="0" applyFont="1" applyBorder="1" applyAlignment="1" applyProtection="1">
      <alignment horizontal="center" vertical="center"/>
      <protection hidden="1"/>
    </xf>
    <xf numFmtId="6" fontId="10" fillId="0" borderId="1" xfId="1" applyNumberFormat="1" applyFont="1" applyBorder="1" applyAlignment="1" applyProtection="1">
      <alignment vertical="center" wrapText="1"/>
      <protection hidden="1"/>
    </xf>
    <xf numFmtId="0" fontId="40" fillId="12" borderId="21" xfId="0" applyFont="1" applyFill="1" applyBorder="1" applyAlignment="1" applyProtection="1">
      <alignment horizontal="center" vertical="center"/>
      <protection hidden="1"/>
    </xf>
    <xf numFmtId="164" fontId="10" fillId="0" borderId="42" xfId="0" applyNumberFormat="1" applyFont="1" applyBorder="1" applyAlignment="1" applyProtection="1">
      <alignment horizontal="right" vertical="center"/>
      <protection hidden="1"/>
    </xf>
    <xf numFmtId="168" fontId="10" fillId="0" borderId="1" xfId="0" applyNumberFormat="1" applyFont="1" applyBorder="1" applyAlignment="1" applyProtection="1">
      <alignment vertical="center"/>
      <protection hidden="1"/>
    </xf>
    <xf numFmtId="168" fontId="10" fillId="0" borderId="0" xfId="0" applyNumberFormat="1" applyFont="1" applyAlignment="1" applyProtection="1">
      <alignment vertical="center"/>
      <protection hidden="1"/>
    </xf>
    <xf numFmtId="5" fontId="10" fillId="8" borderId="21" xfId="2" applyNumberFormat="1" applyFont="1" applyFill="1" applyBorder="1" applyAlignment="1" applyProtection="1">
      <alignment horizontal="center" vertical="center"/>
      <protection locked="0" hidden="1"/>
    </xf>
    <xf numFmtId="0" fontId="12" fillId="0" borderId="1" xfId="0" applyFont="1" applyBorder="1" applyAlignment="1" applyProtection="1">
      <alignment horizontal="right" vertical="center"/>
      <protection hidden="1"/>
    </xf>
    <xf numFmtId="6" fontId="12" fillId="0" borderId="1" xfId="1" applyNumberFormat="1" applyFont="1" applyBorder="1" applyAlignment="1" applyProtection="1">
      <alignment vertical="center"/>
      <protection hidden="1"/>
    </xf>
    <xf numFmtId="0" fontId="23" fillId="0" borderId="0" xfId="0" applyFont="1" applyProtection="1">
      <protection hidden="1"/>
    </xf>
    <xf numFmtId="0" fontId="10" fillId="0" borderId="17" xfId="0" applyFont="1" applyBorder="1" applyAlignment="1" applyProtection="1">
      <alignment horizontal="right" vertical="center"/>
      <protection hidden="1"/>
    </xf>
    <xf numFmtId="6" fontId="10" fillId="0" borderId="1" xfId="1" applyNumberFormat="1" applyFont="1" applyFill="1" applyBorder="1" applyAlignment="1" applyProtection="1">
      <alignment vertical="center"/>
      <protection hidden="1"/>
    </xf>
    <xf numFmtId="6" fontId="10" fillId="0" borderId="0" xfId="1" applyNumberFormat="1" applyFont="1" applyFill="1" applyBorder="1" applyAlignment="1" applyProtection="1">
      <alignment vertical="center"/>
      <protection hidden="1"/>
    </xf>
    <xf numFmtId="0" fontId="10" fillId="0" borderId="18" xfId="0" applyFont="1" applyBorder="1" applyAlignment="1" applyProtection="1">
      <alignment horizontal="right" vertical="center"/>
      <protection hidden="1"/>
    </xf>
    <xf numFmtId="0" fontId="10" fillId="7" borderId="1" xfId="0" applyFont="1" applyFill="1" applyBorder="1" applyAlignment="1" applyProtection="1">
      <alignment horizontal="center" vertical="center"/>
      <protection locked="0" hidden="1"/>
    </xf>
    <xf numFmtId="0" fontId="10" fillId="0" borderId="19" xfId="0" applyFont="1" applyBorder="1" applyAlignment="1" applyProtection="1">
      <alignment horizontal="right" vertical="center"/>
      <protection hidden="1"/>
    </xf>
    <xf numFmtId="6" fontId="18" fillId="25" borderId="1" xfId="1" applyNumberFormat="1" applyFont="1" applyFill="1" applyBorder="1" applyAlignment="1" applyProtection="1">
      <alignment vertical="center"/>
      <protection hidden="1"/>
    </xf>
    <xf numFmtId="6" fontId="18" fillId="0" borderId="0" xfId="1" applyNumberFormat="1" applyFont="1" applyFill="1" applyBorder="1" applyAlignment="1" applyProtection="1">
      <alignment vertical="center"/>
      <protection hidden="1"/>
    </xf>
    <xf numFmtId="166" fontId="10" fillId="7" borderId="1" xfId="3" applyNumberFormat="1" applyFont="1" applyFill="1" applyBorder="1" applyAlignment="1" applyProtection="1">
      <alignment horizontal="center" vertical="center"/>
      <protection locked="0" hidden="1"/>
    </xf>
    <xf numFmtId="2" fontId="25" fillId="0" borderId="0" xfId="0" applyNumberFormat="1" applyFont="1" applyAlignment="1" applyProtection="1">
      <alignment horizontal="center"/>
      <protection hidden="1"/>
    </xf>
    <xf numFmtId="6" fontId="10" fillId="0" borderId="1" xfId="0" applyNumberFormat="1" applyFont="1" applyBorder="1" applyAlignment="1" applyProtection="1">
      <alignment vertical="center"/>
      <protection hidden="1"/>
    </xf>
    <xf numFmtId="5" fontId="10" fillId="8" borderId="27" xfId="2" applyNumberFormat="1" applyFont="1" applyFill="1" applyBorder="1" applyAlignment="1" applyProtection="1">
      <alignment horizontal="center" vertical="center"/>
      <protection locked="0" hidden="1"/>
    </xf>
    <xf numFmtId="166" fontId="10" fillId="7" borderId="17" xfId="3" applyNumberFormat="1" applyFont="1" applyFill="1" applyBorder="1" applyAlignment="1" applyProtection="1">
      <alignment horizontal="center" vertical="center"/>
      <protection locked="0" hidden="1"/>
    </xf>
    <xf numFmtId="6" fontId="12" fillId="0" borderId="1" xfId="1" applyNumberFormat="1" applyFont="1" applyFill="1" applyBorder="1" applyAlignment="1" applyProtection="1">
      <alignment vertical="center"/>
      <protection hidden="1"/>
    </xf>
    <xf numFmtId="6" fontId="12" fillId="0" borderId="0" xfId="1" applyNumberFormat="1" applyFont="1" applyFill="1" applyBorder="1" applyAlignment="1" applyProtection="1">
      <alignment vertical="center"/>
      <protection hidden="1"/>
    </xf>
    <xf numFmtId="0" fontId="9" fillId="27" borderId="47" xfId="0" applyFont="1" applyFill="1" applyBorder="1" applyAlignment="1" applyProtection="1">
      <alignment horizontal="right" vertical="center" wrapText="1"/>
      <protection hidden="1"/>
    </xf>
    <xf numFmtId="6" fontId="9" fillId="27" borderId="48" xfId="2" applyNumberFormat="1" applyFont="1" applyFill="1" applyBorder="1" applyAlignment="1" applyProtection="1">
      <alignment horizontal="center" vertical="center"/>
      <protection hidden="1"/>
    </xf>
    <xf numFmtId="6" fontId="40" fillId="13" borderId="25" xfId="0" applyNumberFormat="1" applyFont="1" applyFill="1" applyBorder="1" applyAlignment="1" applyProtection="1">
      <alignment horizontal="right" vertical="center"/>
      <protection hidden="1"/>
    </xf>
    <xf numFmtId="6" fontId="40" fillId="13" borderId="1" xfId="0" applyNumberFormat="1" applyFont="1" applyFill="1" applyBorder="1" applyAlignment="1" applyProtection="1">
      <alignment horizontal="right" vertical="center"/>
      <protection hidden="1"/>
    </xf>
    <xf numFmtId="6" fontId="40" fillId="0" borderId="0" xfId="0" applyNumberFormat="1" applyFont="1" applyAlignment="1" applyProtection="1">
      <alignment horizontal="right" vertical="center"/>
      <protection hidden="1"/>
    </xf>
    <xf numFmtId="0" fontId="40" fillId="13" borderId="28" xfId="0" applyFont="1" applyFill="1" applyBorder="1" applyAlignment="1" applyProtection="1">
      <alignment horizontal="right" vertical="center" wrapText="1"/>
      <protection hidden="1"/>
    </xf>
    <xf numFmtId="6" fontId="40" fillId="13" borderId="29" xfId="0" applyNumberFormat="1" applyFont="1" applyFill="1" applyBorder="1" applyAlignment="1" applyProtection="1">
      <alignment horizontal="center" vertical="center"/>
      <protection hidden="1"/>
    </xf>
    <xf numFmtId="166" fontId="10" fillId="0" borderId="0" xfId="3" applyNumberFormat="1" applyFont="1" applyFill="1" applyBorder="1" applyAlignment="1" applyProtection="1">
      <alignment horizontal="center"/>
      <protection hidden="1"/>
    </xf>
    <xf numFmtId="6" fontId="40" fillId="0" borderId="0" xfId="0" applyNumberFormat="1" applyFont="1" applyAlignment="1" applyProtection="1">
      <alignment vertical="center"/>
      <protection hidden="1"/>
    </xf>
    <xf numFmtId="0" fontId="42" fillId="0" borderId="0" xfId="0" applyFont="1" applyProtection="1">
      <protection hidden="1"/>
    </xf>
    <xf numFmtId="6" fontId="41" fillId="0" borderId="0" xfId="0" applyNumberFormat="1" applyFont="1" applyAlignment="1" applyProtection="1">
      <alignment vertical="top"/>
      <protection hidden="1"/>
    </xf>
    <xf numFmtId="0" fontId="18" fillId="9" borderId="21" xfId="0" applyFont="1" applyFill="1" applyBorder="1" applyAlignment="1" applyProtection="1">
      <alignment horizontal="center" vertical="center"/>
      <protection locked="0" hidden="1"/>
    </xf>
    <xf numFmtId="6" fontId="8" fillId="0" borderId="0" xfId="0" applyNumberFormat="1" applyFont="1" applyAlignment="1" applyProtection="1">
      <alignment horizontal="center" vertical="center"/>
      <protection hidden="1"/>
    </xf>
    <xf numFmtId="165" fontId="18" fillId="8" borderId="21" xfId="2" applyNumberFormat="1" applyFont="1" applyFill="1" applyBorder="1" applyAlignment="1" applyProtection="1">
      <alignment horizontal="center" vertical="center"/>
      <protection locked="0" hidden="1"/>
    </xf>
    <xf numFmtId="0" fontId="10" fillId="0" borderId="1" xfId="0" applyFont="1" applyBorder="1" applyAlignment="1" applyProtection="1">
      <alignment horizontal="right" vertical="center"/>
      <protection hidden="1"/>
    </xf>
    <xf numFmtId="9" fontId="10" fillId="0" borderId="1" xfId="3" applyFont="1" applyBorder="1" applyProtection="1">
      <protection hidden="1"/>
    </xf>
    <xf numFmtId="9" fontId="10" fillId="0" borderId="0" xfId="3" applyFont="1" applyFill="1" applyBorder="1" applyProtection="1">
      <protection hidden="1"/>
    </xf>
    <xf numFmtId="0" fontId="10" fillId="0" borderId="0" xfId="0" applyFont="1" applyAlignment="1" applyProtection="1">
      <alignment horizontal="center" vertical="center"/>
      <protection hidden="1"/>
    </xf>
    <xf numFmtId="6" fontId="10" fillId="0" borderId="1" xfId="0" applyNumberFormat="1" applyFont="1" applyBorder="1" applyProtection="1">
      <protection hidden="1"/>
    </xf>
    <xf numFmtId="6" fontId="10" fillId="0" borderId="0" xfId="0" applyNumberFormat="1" applyFont="1" applyProtection="1">
      <protection hidden="1"/>
    </xf>
    <xf numFmtId="0" fontId="10" fillId="0" borderId="8" xfId="0" applyFont="1" applyBorder="1" applyAlignment="1" applyProtection="1">
      <alignment horizontal="right" vertical="center" shrinkToFit="1"/>
      <protection hidden="1"/>
    </xf>
    <xf numFmtId="166" fontId="18" fillId="8" borderId="21" xfId="3" applyNumberFormat="1" applyFont="1" applyFill="1" applyBorder="1" applyAlignment="1" applyProtection="1">
      <alignment horizontal="center" vertical="center"/>
      <protection locked="0" hidden="1"/>
    </xf>
    <xf numFmtId="9" fontId="18" fillId="0" borderId="1" xfId="3" applyFont="1" applyFill="1" applyBorder="1" applyProtection="1">
      <protection hidden="1"/>
    </xf>
    <xf numFmtId="9" fontId="18" fillId="0" borderId="0" xfId="3" applyFont="1" applyFill="1" applyBorder="1" applyProtection="1">
      <protection hidden="1"/>
    </xf>
    <xf numFmtId="0" fontId="10" fillId="3" borderId="8" xfId="0" applyFont="1" applyFill="1" applyBorder="1" applyAlignment="1" applyProtection="1">
      <alignment horizontal="right" vertical="center" shrinkToFit="1"/>
      <protection hidden="1"/>
    </xf>
    <xf numFmtId="0" fontId="18" fillId="12" borderId="1" xfId="0" applyFont="1" applyFill="1" applyBorder="1" applyAlignment="1" applyProtection="1">
      <alignment horizontal="center" vertical="center"/>
      <protection hidden="1"/>
    </xf>
    <xf numFmtId="0" fontId="20" fillId="3" borderId="0" xfId="0" applyFont="1" applyFill="1" applyAlignment="1" applyProtection="1">
      <alignment horizontal="center"/>
      <protection hidden="1"/>
    </xf>
    <xf numFmtId="6" fontId="10" fillId="0" borderId="1" xfId="1" applyNumberFormat="1" applyFont="1" applyBorder="1" applyProtection="1">
      <protection hidden="1"/>
    </xf>
    <xf numFmtId="6" fontId="10" fillId="0" borderId="0" xfId="1" applyNumberFormat="1" applyFont="1" applyFill="1" applyBorder="1" applyProtection="1">
      <protection hidden="1"/>
    </xf>
    <xf numFmtId="0" fontId="14" fillId="0" borderId="0" xfId="0" applyFont="1" applyAlignment="1" applyProtection="1">
      <alignment horizontal="left"/>
      <protection hidden="1"/>
    </xf>
    <xf numFmtId="0" fontId="18" fillId="12" borderId="17" xfId="0" applyFont="1" applyFill="1" applyBorder="1" applyAlignment="1" applyProtection="1">
      <alignment horizontal="center" vertical="center"/>
      <protection hidden="1"/>
    </xf>
    <xf numFmtId="5" fontId="18" fillId="5" borderId="17" xfId="2" applyNumberFormat="1" applyFont="1" applyFill="1" applyBorder="1" applyAlignment="1" applyProtection="1">
      <alignment horizontal="center" vertical="center"/>
      <protection hidden="1"/>
    </xf>
    <xf numFmtId="5" fontId="18" fillId="5" borderId="18" xfId="2" applyNumberFormat="1" applyFont="1" applyFill="1" applyBorder="1" applyAlignment="1" applyProtection="1">
      <alignment horizontal="center" vertical="center"/>
      <protection hidden="1"/>
    </xf>
    <xf numFmtId="5" fontId="8" fillId="0" borderId="0" xfId="2" applyNumberFormat="1" applyFont="1" applyFill="1" applyBorder="1" applyAlignment="1" applyProtection="1">
      <alignment horizontal="center" vertical="center"/>
      <protection hidden="1"/>
    </xf>
    <xf numFmtId="0" fontId="9" fillId="24" borderId="1" xfId="0" applyFont="1" applyFill="1" applyBorder="1" applyAlignment="1" applyProtection="1">
      <alignment horizontal="center" vertical="center"/>
      <protection hidden="1"/>
    </xf>
    <xf numFmtId="6" fontId="9" fillId="24" borderId="1" xfId="1" applyNumberFormat="1" applyFont="1" applyFill="1" applyBorder="1" applyAlignment="1" applyProtection="1">
      <alignment vertical="center"/>
      <protection hidden="1"/>
    </xf>
    <xf numFmtId="0" fontId="9" fillId="27" borderId="44" xfId="0" applyFont="1" applyFill="1" applyBorder="1" applyAlignment="1" applyProtection="1">
      <alignment horizontal="right" vertical="center" wrapText="1"/>
      <protection hidden="1"/>
    </xf>
    <xf numFmtId="6" fontId="9" fillId="27" borderId="45" xfId="2" applyNumberFormat="1" applyFont="1" applyFill="1" applyBorder="1" applyAlignment="1" applyProtection="1">
      <alignment horizontal="center" vertical="center"/>
      <protection hidden="1"/>
    </xf>
    <xf numFmtId="0" fontId="18" fillId="12" borderId="18" xfId="0" applyFont="1" applyFill="1" applyBorder="1" applyAlignment="1" applyProtection="1">
      <alignment horizontal="center" vertical="center"/>
      <protection hidden="1"/>
    </xf>
    <xf numFmtId="5" fontId="10" fillId="5" borderId="18" xfId="2" applyNumberFormat="1" applyFont="1" applyFill="1" applyBorder="1" applyAlignment="1" applyProtection="1">
      <alignment horizontal="center" vertical="center"/>
      <protection hidden="1"/>
    </xf>
    <xf numFmtId="5" fontId="12" fillId="0" borderId="0" xfId="2" applyNumberFormat="1" applyFont="1" applyFill="1" applyBorder="1" applyAlignment="1" applyProtection="1">
      <alignment horizontal="center" vertical="center"/>
      <protection hidden="1"/>
    </xf>
    <xf numFmtId="6" fontId="40" fillId="13" borderId="1" xfId="0" applyNumberFormat="1" applyFont="1" applyFill="1" applyBorder="1" applyAlignment="1" applyProtection="1">
      <alignment vertical="center"/>
      <protection hidden="1"/>
    </xf>
    <xf numFmtId="0" fontId="10" fillId="3" borderId="10" xfId="0" applyFont="1" applyFill="1" applyBorder="1" applyAlignment="1" applyProtection="1">
      <alignment horizontal="right" vertical="center" shrinkToFit="1"/>
      <protection hidden="1"/>
    </xf>
    <xf numFmtId="0" fontId="18" fillId="8" borderId="23" xfId="0" applyFont="1" applyFill="1" applyBorder="1" applyAlignment="1" applyProtection="1">
      <alignment horizontal="center" vertical="center"/>
      <protection locked="0" hidden="1"/>
    </xf>
    <xf numFmtId="0" fontId="24" fillId="0" borderId="0" xfId="0" applyFont="1" applyAlignment="1" applyProtection="1">
      <alignment horizontal="center" vertical="center"/>
      <protection hidden="1"/>
    </xf>
    <xf numFmtId="10" fontId="24" fillId="0" borderId="0" xfId="3" applyNumberFormat="1" applyFont="1" applyBorder="1" applyProtection="1">
      <protection hidden="1"/>
    </xf>
    <xf numFmtId="10" fontId="24" fillId="0" borderId="0" xfId="3" applyNumberFormat="1" applyFont="1" applyFill="1" applyBorder="1" applyProtection="1">
      <protection hidden="1"/>
    </xf>
    <xf numFmtId="10" fontId="34" fillId="0" borderId="0" xfId="0" applyNumberFormat="1" applyFont="1" applyProtection="1">
      <protection hidden="1"/>
    </xf>
    <xf numFmtId="164" fontId="24" fillId="0" borderId="0" xfId="1" applyNumberFormat="1" applyFont="1" applyBorder="1" applyProtection="1">
      <protection hidden="1"/>
    </xf>
    <xf numFmtId="164" fontId="10" fillId="0" borderId="0" xfId="0" applyNumberFormat="1" applyFont="1" applyProtection="1">
      <protection hidden="1"/>
    </xf>
    <xf numFmtId="0" fontId="18" fillId="12" borderId="19" xfId="0" applyFont="1" applyFill="1" applyBorder="1" applyAlignment="1" applyProtection="1">
      <alignment horizontal="center" vertical="center"/>
      <protection hidden="1"/>
    </xf>
    <xf numFmtId="9" fontId="18" fillId="5" borderId="19" xfId="3" applyFont="1" applyFill="1" applyBorder="1" applyAlignment="1" applyProtection="1">
      <alignment horizontal="center" vertical="center"/>
      <protection hidden="1"/>
    </xf>
    <xf numFmtId="9" fontId="10" fillId="5" borderId="19" xfId="0" applyNumberFormat="1" applyFont="1" applyFill="1" applyBorder="1" applyAlignment="1" applyProtection="1">
      <alignment horizontal="center"/>
      <protection hidden="1"/>
    </xf>
    <xf numFmtId="9" fontId="12" fillId="3" borderId="0" xfId="0" applyNumberFormat="1" applyFont="1" applyFill="1" applyAlignment="1" applyProtection="1">
      <alignment horizontal="center"/>
      <protection hidden="1"/>
    </xf>
    <xf numFmtId="6" fontId="24" fillId="0" borderId="0" xfId="3" applyNumberFormat="1" applyFont="1" applyBorder="1" applyProtection="1">
      <protection hidden="1"/>
    </xf>
    <xf numFmtId="164" fontId="17" fillId="0" borderId="0" xfId="0" applyNumberFormat="1" applyFont="1" applyProtection="1">
      <protection hidden="1"/>
    </xf>
    <xf numFmtId="0" fontId="17" fillId="0" borderId="0" xfId="0" applyFont="1" applyProtection="1">
      <protection hidden="1"/>
    </xf>
    <xf numFmtId="0" fontId="28" fillId="0" borderId="0" xfId="0" applyFont="1" applyProtection="1">
      <protection hidden="1"/>
    </xf>
    <xf numFmtId="0" fontId="21" fillId="2" borderId="5" xfId="0" applyFont="1" applyFill="1" applyBorder="1" applyAlignment="1" applyProtection="1">
      <alignment wrapText="1"/>
      <protection hidden="1"/>
    </xf>
    <xf numFmtId="0" fontId="21" fillId="2" borderId="6" xfId="0" applyFont="1" applyFill="1" applyBorder="1" applyAlignment="1" applyProtection="1">
      <alignment wrapText="1"/>
      <protection hidden="1"/>
    </xf>
    <xf numFmtId="0" fontId="1" fillId="16" borderId="6" xfId="9" applyNumberFormat="1" applyFont="1" applyBorder="1" applyAlignment="1" applyProtection="1">
      <alignment horizontal="right"/>
      <protection hidden="1"/>
    </xf>
    <xf numFmtId="0" fontId="10" fillId="0" borderId="6" xfId="0" applyFont="1" applyBorder="1" applyProtection="1">
      <protection hidden="1"/>
    </xf>
    <xf numFmtId="0" fontId="10" fillId="0" borderId="7" xfId="0" applyFont="1" applyBorder="1" applyProtection="1">
      <protection hidden="1"/>
    </xf>
    <xf numFmtId="0" fontId="22" fillId="0" borderId="0" xfId="0" applyFont="1" applyAlignment="1" applyProtection="1">
      <alignment horizontal="right" vertical="center"/>
      <protection hidden="1"/>
    </xf>
    <xf numFmtId="0" fontId="10" fillId="0" borderId="8" xfId="0" applyFont="1" applyBorder="1" applyProtection="1">
      <protection hidden="1"/>
    </xf>
    <xf numFmtId="165" fontId="1" fillId="16" borderId="0" xfId="9" applyNumberFormat="1" applyFont="1" applyBorder="1" applyAlignment="1" applyProtection="1">
      <alignment horizontal="right"/>
      <protection hidden="1"/>
    </xf>
    <xf numFmtId="0" fontId="10" fillId="0" borderId="9" xfId="0" applyFont="1" applyBorder="1" applyProtection="1">
      <protection hidden="1"/>
    </xf>
    <xf numFmtId="0" fontId="8" fillId="0" borderId="8" xfId="0" applyFont="1" applyBorder="1" applyProtection="1">
      <protection hidden="1"/>
    </xf>
    <xf numFmtId="0" fontId="8" fillId="0" borderId="0" xfId="0" applyFont="1" applyProtection="1">
      <protection hidden="1"/>
    </xf>
    <xf numFmtId="165" fontId="8" fillId="0" borderId="0" xfId="2" applyNumberFormat="1" applyFont="1" applyBorder="1" applyProtection="1">
      <protection hidden="1"/>
    </xf>
    <xf numFmtId="6" fontId="15" fillId="2" borderId="0" xfId="0" applyNumberFormat="1" applyFont="1" applyFill="1" applyProtection="1">
      <protection hidden="1"/>
    </xf>
    <xf numFmtId="6" fontId="15" fillId="2" borderId="9" xfId="0" applyNumberFormat="1" applyFont="1" applyFill="1" applyBorder="1" applyProtection="1">
      <protection hidden="1"/>
    </xf>
    <xf numFmtId="0" fontId="20" fillId="2" borderId="2" xfId="0" applyFont="1" applyFill="1" applyBorder="1" applyAlignment="1" applyProtection="1">
      <alignment horizontal="center"/>
      <protection hidden="1"/>
    </xf>
    <xf numFmtId="0" fontId="20" fillId="4" borderId="2" xfId="0" applyFont="1" applyFill="1" applyBorder="1" applyAlignment="1" applyProtection="1">
      <alignment horizontal="center"/>
      <protection hidden="1"/>
    </xf>
    <xf numFmtId="6" fontId="15" fillId="0" borderId="0" xfId="0" applyNumberFormat="1" applyFont="1" applyProtection="1">
      <protection hidden="1"/>
    </xf>
    <xf numFmtId="6" fontId="15" fillId="0" borderId="9" xfId="0" applyNumberFormat="1" applyFont="1" applyBorder="1" applyProtection="1">
      <protection hidden="1"/>
    </xf>
    <xf numFmtId="0" fontId="27" fillId="2" borderId="0" xfId="0" applyFont="1" applyFill="1" applyAlignment="1" applyProtection="1">
      <alignment horizontal="right" vertical="center"/>
      <protection hidden="1"/>
    </xf>
    <xf numFmtId="5" fontId="2" fillId="16" borderId="2" xfId="9" applyNumberFormat="1" applyBorder="1" applyAlignment="1" applyProtection="1">
      <alignment horizontal="center" vertical="center"/>
      <protection hidden="1"/>
    </xf>
    <xf numFmtId="5" fontId="2" fillId="16" borderId="7" xfId="9" applyNumberFormat="1" applyBorder="1" applyAlignment="1" applyProtection="1">
      <alignment horizontal="center" vertical="center"/>
      <protection hidden="1"/>
    </xf>
    <xf numFmtId="9" fontId="8" fillId="0" borderId="0" xfId="0" applyNumberFormat="1" applyFont="1" applyProtection="1">
      <protection hidden="1"/>
    </xf>
    <xf numFmtId="165" fontId="2" fillId="21" borderId="0" xfId="14" applyNumberFormat="1" applyBorder="1" applyProtection="1">
      <protection hidden="1"/>
    </xf>
    <xf numFmtId="165" fontId="2" fillId="16" borderId="0" xfId="9" applyNumberFormat="1" applyBorder="1" applyProtection="1">
      <protection hidden="1"/>
    </xf>
    <xf numFmtId="165" fontId="2" fillId="16" borderId="9" xfId="9" applyNumberFormat="1" applyBorder="1" applyProtection="1">
      <protection hidden="1"/>
    </xf>
    <xf numFmtId="5" fontId="2" fillId="16" borderId="3" xfId="9" applyNumberFormat="1" applyBorder="1" applyAlignment="1" applyProtection="1">
      <alignment horizontal="center" vertical="center"/>
      <protection hidden="1"/>
    </xf>
    <xf numFmtId="5" fontId="2" fillId="16" borderId="9" xfId="9" applyNumberFormat="1" applyBorder="1" applyAlignment="1" applyProtection="1">
      <alignment horizontal="center" vertical="center"/>
      <protection hidden="1"/>
    </xf>
    <xf numFmtId="9" fontId="2" fillId="21" borderId="0" xfId="14" applyNumberFormat="1" applyProtection="1">
      <protection hidden="1"/>
    </xf>
    <xf numFmtId="9" fontId="2" fillId="16" borderId="4" xfId="9" applyNumberFormat="1" applyBorder="1" applyAlignment="1" applyProtection="1">
      <alignment horizontal="center" vertical="center"/>
      <protection hidden="1"/>
    </xf>
    <xf numFmtId="9" fontId="2" fillId="16" borderId="12" xfId="9" applyNumberFormat="1" applyBorder="1" applyAlignment="1" applyProtection="1">
      <alignment horizontal="center"/>
      <protection hidden="1"/>
    </xf>
    <xf numFmtId="0" fontId="13" fillId="0" borderId="8" xfId="0" applyFont="1" applyBorder="1" applyProtection="1">
      <protection hidden="1"/>
    </xf>
    <xf numFmtId="0" fontId="13" fillId="0" borderId="0" xfId="0" applyFont="1" applyProtection="1">
      <protection hidden="1"/>
    </xf>
    <xf numFmtId="165" fontId="13" fillId="0" borderId="0" xfId="2" applyNumberFormat="1" applyFont="1" applyBorder="1" applyProtection="1">
      <protection hidden="1"/>
    </xf>
    <xf numFmtId="0" fontId="14" fillId="0" borderId="0" xfId="0" applyFont="1" applyAlignment="1" applyProtection="1">
      <alignment horizontal="right" vertical="center"/>
      <protection hidden="1"/>
    </xf>
    <xf numFmtId="0" fontId="2" fillId="16" borderId="16" xfId="9" applyBorder="1" applyAlignment="1" applyProtection="1">
      <alignment horizontal="center" vertical="center"/>
      <protection hidden="1"/>
    </xf>
    <xf numFmtId="0" fontId="2" fillId="16" borderId="0" xfId="9" applyProtection="1">
      <protection hidden="1"/>
    </xf>
    <xf numFmtId="165" fontId="2" fillId="16" borderId="0" xfId="9" applyNumberFormat="1" applyProtection="1">
      <protection hidden="1"/>
    </xf>
    <xf numFmtId="0" fontId="1" fillId="0" borderId="0" xfId="0" applyFont="1" applyProtection="1">
      <protection hidden="1"/>
    </xf>
    <xf numFmtId="9" fontId="2" fillId="16" borderId="0" xfId="9" applyNumberFormat="1" applyBorder="1" applyProtection="1">
      <protection hidden="1"/>
    </xf>
    <xf numFmtId="9" fontId="2" fillId="16" borderId="9" xfId="9" applyNumberFormat="1" applyBorder="1" applyProtection="1">
      <protection hidden="1"/>
    </xf>
    <xf numFmtId="0" fontId="36" fillId="0" borderId="0" xfId="7" applyProtection="1">
      <protection hidden="1"/>
    </xf>
    <xf numFmtId="165" fontId="10" fillId="0" borderId="0" xfId="2" applyNumberFormat="1" applyFont="1" applyBorder="1" applyProtection="1">
      <protection hidden="1"/>
    </xf>
    <xf numFmtId="0" fontId="2" fillId="16" borderId="9" xfId="9" applyBorder="1" applyProtection="1">
      <protection hidden="1"/>
    </xf>
    <xf numFmtId="0" fontId="12" fillId="0" borderId="10" xfId="0" applyFont="1" applyBorder="1" applyProtection="1">
      <protection hidden="1"/>
    </xf>
    <xf numFmtId="0" fontId="12" fillId="0" borderId="11" xfId="0" applyFont="1" applyBorder="1" applyProtection="1">
      <protection hidden="1"/>
    </xf>
    <xf numFmtId="165" fontId="2" fillId="21" borderId="11" xfId="14" applyNumberFormat="1" applyBorder="1" applyProtection="1">
      <protection hidden="1"/>
    </xf>
    <xf numFmtId="165" fontId="2" fillId="16" borderId="11" xfId="9" applyNumberFormat="1" applyBorder="1" applyProtection="1">
      <protection hidden="1"/>
    </xf>
    <xf numFmtId="0" fontId="2" fillId="16" borderId="11" xfId="9" applyBorder="1" applyProtection="1">
      <protection hidden="1"/>
    </xf>
    <xf numFmtId="0" fontId="2" fillId="16" borderId="12" xfId="9" applyBorder="1" applyProtection="1">
      <protection hidden="1"/>
    </xf>
    <xf numFmtId="165" fontId="10" fillId="6" borderId="0" xfId="2" applyNumberFormat="1" applyFont="1" applyFill="1" applyBorder="1" applyProtection="1">
      <protection hidden="1"/>
    </xf>
    <xf numFmtId="165" fontId="10" fillId="10" borderId="9" xfId="2" applyNumberFormat="1" applyFont="1" applyFill="1" applyBorder="1" applyProtection="1">
      <protection hidden="1"/>
    </xf>
    <xf numFmtId="0" fontId="0" fillId="6" borderId="0" xfId="0" applyFill="1" applyAlignment="1" applyProtection="1">
      <alignment horizontal="right"/>
      <protection hidden="1"/>
    </xf>
    <xf numFmtId="0" fontId="1" fillId="6" borderId="0" xfId="0" applyFont="1" applyFill="1" applyAlignment="1" applyProtection="1">
      <alignment horizontal="right"/>
      <protection hidden="1"/>
    </xf>
    <xf numFmtId="0" fontId="1" fillId="6" borderId="0" xfId="0" applyFont="1" applyFill="1" applyAlignment="1" applyProtection="1">
      <alignment horizontal="center"/>
      <protection hidden="1"/>
    </xf>
    <xf numFmtId="0" fontId="0" fillId="10" borderId="0" xfId="0" applyFill="1" applyAlignment="1" applyProtection="1">
      <alignment horizontal="right"/>
      <protection hidden="1"/>
    </xf>
    <xf numFmtId="0" fontId="1" fillId="10" borderId="0" xfId="0" applyFont="1" applyFill="1" applyAlignment="1" applyProtection="1">
      <alignment horizontal="right"/>
      <protection hidden="1"/>
    </xf>
    <xf numFmtId="0" fontId="1" fillId="10" borderId="0" xfId="0" applyFont="1" applyFill="1" applyAlignment="1" applyProtection="1">
      <alignment horizontal="center"/>
      <protection hidden="1"/>
    </xf>
    <xf numFmtId="0" fontId="0" fillId="6" borderId="0" xfId="0" applyFill="1" applyProtection="1">
      <protection hidden="1"/>
    </xf>
    <xf numFmtId="164" fontId="0" fillId="6" borderId="0" xfId="1" applyNumberFormat="1" applyFont="1" applyFill="1" applyProtection="1">
      <protection hidden="1"/>
    </xf>
    <xf numFmtId="164" fontId="0" fillId="6" borderId="0" xfId="0" applyNumberFormat="1" applyFill="1" applyProtection="1">
      <protection hidden="1"/>
    </xf>
    <xf numFmtId="0" fontId="0" fillId="10" borderId="0" xfId="0" applyFill="1" applyProtection="1">
      <protection hidden="1"/>
    </xf>
    <xf numFmtId="164" fontId="0" fillId="10" borderId="0" xfId="1" applyNumberFormat="1" applyFont="1" applyFill="1" applyProtection="1">
      <protection hidden="1"/>
    </xf>
    <xf numFmtId="164" fontId="0" fillId="10" borderId="0" xfId="0" applyNumberFormat="1" applyFill="1" applyProtection="1">
      <protection hidden="1"/>
    </xf>
    <xf numFmtId="165" fontId="37" fillId="6" borderId="0" xfId="0" applyNumberFormat="1" applyFont="1" applyFill="1" applyProtection="1">
      <protection hidden="1"/>
    </xf>
    <xf numFmtId="165" fontId="37" fillId="10" borderId="9" xfId="0" applyNumberFormat="1" applyFont="1" applyFill="1" applyBorder="1" applyProtection="1">
      <protection hidden="1"/>
    </xf>
    <xf numFmtId="9" fontId="10" fillId="6" borderId="0" xfId="3" applyFont="1" applyFill="1" applyBorder="1" applyProtection="1">
      <protection hidden="1"/>
    </xf>
    <xf numFmtId="9" fontId="10" fillId="10" borderId="9" xfId="3" applyFont="1" applyFill="1" applyBorder="1" applyProtection="1">
      <protection hidden="1"/>
    </xf>
    <xf numFmtId="0" fontId="10" fillId="0" borderId="11" xfId="0" applyFont="1" applyBorder="1" applyProtection="1">
      <protection hidden="1"/>
    </xf>
    <xf numFmtId="0" fontId="10" fillId="0" borderId="12" xfId="0" applyFont="1" applyBorder="1" applyProtection="1">
      <protection hidden="1"/>
    </xf>
    <xf numFmtId="0" fontId="1" fillId="0" borderId="0" xfId="0" applyFont="1" applyAlignment="1" applyProtection="1">
      <alignment horizontal="center"/>
      <protection hidden="1"/>
    </xf>
    <xf numFmtId="6" fontId="0" fillId="6" borderId="0" xfId="0" applyNumberFormat="1" applyFill="1" applyProtection="1">
      <protection hidden="1"/>
    </xf>
    <xf numFmtId="6" fontId="0" fillId="10" borderId="0" xfId="0" applyNumberFormat="1" applyFill="1" applyProtection="1">
      <protection hidden="1"/>
    </xf>
    <xf numFmtId="0" fontId="12" fillId="0" borderId="0" xfId="0" applyFont="1" applyProtection="1">
      <protection hidden="1"/>
    </xf>
    <xf numFmtId="164" fontId="0" fillId="0" borderId="0" xfId="1" applyNumberFormat="1" applyFont="1" applyProtection="1">
      <protection hidden="1"/>
    </xf>
    <xf numFmtId="0" fontId="54" fillId="0" borderId="0" xfId="0" applyFont="1" applyProtection="1">
      <protection hidden="1"/>
    </xf>
    <xf numFmtId="0" fontId="1" fillId="21" borderId="0" xfId="14" applyFont="1" applyProtection="1">
      <protection hidden="1"/>
    </xf>
    <xf numFmtId="0" fontId="1" fillId="16" borderId="0" xfId="9" applyFont="1" applyAlignment="1" applyProtection="1">
      <alignment shrinkToFit="1"/>
      <protection hidden="1"/>
    </xf>
    <xf numFmtId="0" fontId="2" fillId="16" borderId="0" xfId="9" applyAlignment="1" applyProtection="1">
      <alignment horizontal="right" vertical="center" shrinkToFit="1"/>
      <protection hidden="1"/>
    </xf>
    <xf numFmtId="0" fontId="0" fillId="0" borderId="0" xfId="0" applyAlignment="1" applyProtection="1">
      <alignment horizontal="center" vertical="center" shrinkToFit="1"/>
      <protection hidden="1"/>
    </xf>
    <xf numFmtId="0" fontId="1" fillId="16" borderId="0" xfId="9" applyFont="1" applyAlignment="1" applyProtection="1">
      <alignment horizontal="center" vertical="center" shrinkToFit="1"/>
      <protection hidden="1"/>
    </xf>
    <xf numFmtId="164" fontId="2" fillId="16" borderId="0" xfId="9" applyNumberFormat="1" applyAlignment="1" applyProtection="1">
      <alignment horizontal="right" vertical="center" shrinkToFit="1"/>
      <protection hidden="1"/>
    </xf>
    <xf numFmtId="0" fontId="1" fillId="16" borderId="0" xfId="9" applyFont="1" applyProtection="1">
      <protection hidden="1"/>
    </xf>
    <xf numFmtId="0" fontId="1" fillId="22" borderId="0" xfId="15" applyFont="1" applyProtection="1">
      <protection hidden="1"/>
    </xf>
    <xf numFmtId="0" fontId="1" fillId="22" borderId="0" xfId="15" applyFont="1" applyAlignment="1" applyProtection="1">
      <alignment horizontal="right"/>
      <protection hidden="1"/>
    </xf>
    <xf numFmtId="0" fontId="2" fillId="22" borderId="0" xfId="15" applyProtection="1">
      <protection hidden="1"/>
    </xf>
    <xf numFmtId="0" fontId="3" fillId="2" borderId="0" xfId="0" applyFont="1" applyFill="1" applyProtection="1">
      <protection hidden="1"/>
    </xf>
    <xf numFmtId="9" fontId="2" fillId="16" borderId="0" xfId="9" applyNumberFormat="1" applyProtection="1">
      <protection hidden="1"/>
    </xf>
    <xf numFmtId="166" fontId="2" fillId="16" borderId="0" xfId="9" applyNumberFormat="1" applyProtection="1">
      <protection hidden="1"/>
    </xf>
    <xf numFmtId="166" fontId="0" fillId="0" borderId="0" xfId="0" applyNumberFormat="1" applyProtection="1">
      <protection hidden="1"/>
    </xf>
    <xf numFmtId="0" fontId="1" fillId="14" borderId="0" xfId="0" applyFont="1" applyFill="1" applyProtection="1">
      <protection hidden="1"/>
    </xf>
    <xf numFmtId="0" fontId="44" fillId="2" borderId="0" xfId="0" applyFont="1" applyFill="1" applyProtection="1">
      <protection hidden="1"/>
    </xf>
    <xf numFmtId="0" fontId="0" fillId="2" borderId="0" xfId="0" applyFill="1" applyProtection="1">
      <protection hidden="1"/>
    </xf>
    <xf numFmtId="0" fontId="44" fillId="2" borderId="0" xfId="0" applyFont="1" applyFill="1" applyAlignment="1" applyProtection="1">
      <alignment horizontal="right"/>
      <protection hidden="1"/>
    </xf>
    <xf numFmtId="166" fontId="2" fillId="21" borderId="0" xfId="14" applyNumberFormat="1" applyAlignment="1" applyProtection="1">
      <alignment horizontal="center"/>
      <protection hidden="1"/>
    </xf>
    <xf numFmtId="10" fontId="2" fillId="21" borderId="0" xfId="14" applyNumberFormat="1" applyProtection="1">
      <protection hidden="1"/>
    </xf>
    <xf numFmtId="10" fontId="0" fillId="0" borderId="0" xfId="0" applyNumberFormat="1" applyProtection="1">
      <protection hidden="1"/>
    </xf>
    <xf numFmtId="0" fontId="4" fillId="0" borderId="1" xfId="0" applyFont="1" applyBorder="1" applyAlignment="1" applyProtection="1">
      <alignment horizontal="center" vertical="top"/>
      <protection hidden="1"/>
    </xf>
    <xf numFmtId="0" fontId="1" fillId="0" borderId="1" xfId="0" applyFont="1" applyBorder="1" applyAlignment="1" applyProtection="1">
      <alignment horizontal="center"/>
      <protection hidden="1"/>
    </xf>
    <xf numFmtId="0" fontId="3" fillId="26" borderId="0" xfId="0" applyFont="1" applyFill="1" applyProtection="1">
      <protection hidden="1"/>
    </xf>
    <xf numFmtId="0" fontId="2" fillId="21" borderId="0" xfId="14" applyAlignment="1" applyProtection="1">
      <alignment horizontal="center"/>
      <protection hidden="1"/>
    </xf>
    <xf numFmtId="0" fontId="1" fillId="0" borderId="1" xfId="0" applyFont="1" applyBorder="1" applyAlignment="1" applyProtection="1">
      <alignment horizontal="center" vertical="top"/>
      <protection hidden="1"/>
    </xf>
    <xf numFmtId="167" fontId="2" fillId="16" borderId="1" xfId="9" applyNumberFormat="1" applyBorder="1" applyProtection="1">
      <protection hidden="1"/>
    </xf>
    <xf numFmtId="5" fontId="44" fillId="2" borderId="0" xfId="0" applyNumberFormat="1" applyFont="1" applyFill="1" applyAlignment="1" applyProtection="1">
      <alignment horizontal="right"/>
      <protection hidden="1"/>
    </xf>
    <xf numFmtId="167" fontId="44" fillId="2" borderId="0" xfId="0" applyNumberFormat="1" applyFont="1" applyFill="1" applyAlignment="1" applyProtection="1">
      <alignment horizontal="right"/>
      <protection hidden="1"/>
    </xf>
    <xf numFmtId="0" fontId="3" fillId="2" borderId="0" xfId="0" applyFont="1" applyFill="1" applyAlignment="1" applyProtection="1">
      <alignment horizontal="right"/>
      <protection hidden="1"/>
    </xf>
    <xf numFmtId="0" fontId="2" fillId="21" borderId="0" xfId="14" applyProtection="1">
      <protection hidden="1"/>
    </xf>
    <xf numFmtId="6" fontId="3" fillId="2" borderId="0" xfId="0" applyNumberFormat="1" applyFont="1" applyFill="1" applyProtection="1">
      <protection hidden="1"/>
    </xf>
    <xf numFmtId="5" fontId="2" fillId="16" borderId="0" xfId="9" applyNumberFormat="1" applyProtection="1">
      <protection hidden="1"/>
    </xf>
    <xf numFmtId="6" fontId="2" fillId="16" borderId="0" xfId="9" applyNumberFormat="1" applyProtection="1">
      <protection hidden="1"/>
    </xf>
    <xf numFmtId="165" fontId="2" fillId="21" borderId="0" xfId="14" applyNumberFormat="1" applyProtection="1">
      <protection hidden="1"/>
    </xf>
    <xf numFmtId="6" fontId="0" fillId="0" borderId="0" xfId="0" applyNumberFormat="1" applyProtection="1">
      <protection hidden="1"/>
    </xf>
    <xf numFmtId="0" fontId="0" fillId="0" borderId="0" xfId="0" applyAlignment="1" applyProtection="1">
      <alignment wrapText="1"/>
      <protection hidden="1"/>
    </xf>
    <xf numFmtId="169" fontId="2" fillId="21" borderId="0" xfId="14" applyNumberFormat="1" applyProtection="1">
      <protection hidden="1"/>
    </xf>
    <xf numFmtId="166" fontId="2" fillId="21" borderId="0" xfId="14" applyNumberFormat="1" applyProtection="1">
      <protection hidden="1"/>
    </xf>
    <xf numFmtId="0" fontId="45" fillId="2" borderId="0" xfId="0" applyFont="1" applyFill="1" applyAlignment="1" applyProtection="1">
      <alignment vertical="center"/>
      <protection hidden="1"/>
    </xf>
    <xf numFmtId="164" fontId="46" fillId="2" borderId="0" xfId="0" applyNumberFormat="1" applyFont="1" applyFill="1" applyProtection="1">
      <protection hidden="1"/>
    </xf>
    <xf numFmtId="164" fontId="19" fillId="0" borderId="0" xfId="0" applyNumberFormat="1" applyFont="1" applyProtection="1">
      <protection hidden="1"/>
    </xf>
    <xf numFmtId="170" fontId="2" fillId="16" borderId="0" xfId="9" applyNumberFormat="1" applyAlignment="1" applyProtection="1">
      <alignment horizontal="center"/>
      <protection hidden="1"/>
    </xf>
    <xf numFmtId="10" fontId="2" fillId="16" borderId="0" xfId="9" quotePrefix="1" applyNumberFormat="1" applyAlignment="1" applyProtection="1">
      <alignment horizontal="center" vertical="top"/>
      <protection hidden="1"/>
    </xf>
    <xf numFmtId="0" fontId="5" fillId="0" borderId="0" xfId="0" applyFont="1" applyProtection="1">
      <protection hidden="1"/>
    </xf>
    <xf numFmtId="164" fontId="6" fillId="0" borderId="0" xfId="0" applyNumberFormat="1" applyFont="1" applyProtection="1">
      <protection hidden="1"/>
    </xf>
    <xf numFmtId="0" fontId="2" fillId="21" borderId="0" xfId="14" applyAlignment="1" applyProtection="1">
      <alignment horizontal="right"/>
      <protection hidden="1"/>
    </xf>
    <xf numFmtId="14" fontId="0" fillId="0" borderId="0" xfId="0" applyNumberFormat="1" applyProtection="1">
      <protection hidden="1"/>
    </xf>
    <xf numFmtId="0" fontId="7" fillId="0" borderId="0" xfId="0" applyFont="1" applyProtection="1">
      <protection hidden="1"/>
    </xf>
    <xf numFmtId="14" fontId="0" fillId="0" borderId="0" xfId="0" applyNumberFormat="1" applyAlignment="1" applyProtection="1">
      <alignment horizontal="center"/>
      <protection hidden="1"/>
    </xf>
    <xf numFmtId="0" fontId="0" fillId="0" borderId="0" xfId="0" applyAlignment="1" applyProtection="1">
      <alignment horizontal="center" wrapText="1"/>
      <protection hidden="1"/>
    </xf>
    <xf numFmtId="0" fontId="8" fillId="0" borderId="1" xfId="0" applyFont="1" applyBorder="1" applyAlignment="1" applyProtection="1">
      <alignment horizontal="right" vertical="center" shrinkToFit="1"/>
      <protection hidden="1"/>
    </xf>
    <xf numFmtId="166" fontId="0" fillId="0" borderId="0" xfId="3" applyNumberFormat="1" applyFont="1" applyProtection="1">
      <protection hidden="1"/>
    </xf>
    <xf numFmtId="0" fontId="18" fillId="3" borderId="8" xfId="0" applyFont="1" applyFill="1" applyBorder="1" applyAlignment="1" applyProtection="1">
      <alignment horizontal="right" vertical="center" shrinkToFit="1"/>
      <protection hidden="1"/>
    </xf>
    <xf numFmtId="0" fontId="24" fillId="3" borderId="42" xfId="0" applyFont="1" applyFill="1" applyBorder="1" applyAlignment="1" applyProtection="1">
      <alignment horizontal="right" vertical="center" wrapText="1"/>
      <protection hidden="1"/>
    </xf>
    <xf numFmtId="0" fontId="10" fillId="3" borderId="42" xfId="0" applyFont="1" applyFill="1" applyBorder="1" applyAlignment="1" applyProtection="1">
      <alignment horizontal="right" vertical="center" wrapText="1"/>
      <protection hidden="1"/>
    </xf>
    <xf numFmtId="0" fontId="56" fillId="0" borderId="0" xfId="0" applyFont="1" applyAlignment="1" applyProtection="1">
      <alignment horizontal="right" vertical="center"/>
      <protection hidden="1"/>
    </xf>
    <xf numFmtId="0" fontId="57" fillId="26" borderId="0" xfId="7" applyFont="1" applyFill="1" applyAlignment="1" applyProtection="1">
      <alignment horizontal="center" vertical="center" wrapText="1"/>
      <protection locked="0"/>
    </xf>
    <xf numFmtId="0" fontId="29" fillId="26" borderId="20" xfId="0" applyFont="1" applyFill="1" applyBorder="1" applyAlignment="1" applyProtection="1">
      <alignment horizontal="center" vertical="center"/>
      <protection hidden="1"/>
    </xf>
    <xf numFmtId="0" fontId="29" fillId="26" borderId="13" xfId="0" applyFont="1" applyFill="1" applyBorder="1" applyAlignment="1" applyProtection="1">
      <alignment horizontal="center" vertical="center"/>
      <protection hidden="1"/>
    </xf>
    <xf numFmtId="0" fontId="29" fillId="26" borderId="24" xfId="0" applyFont="1" applyFill="1" applyBorder="1" applyAlignment="1" applyProtection="1">
      <alignment horizontal="center" vertical="center"/>
      <protection hidden="1"/>
    </xf>
    <xf numFmtId="0" fontId="29" fillId="26" borderId="25" xfId="0" applyFont="1" applyFill="1" applyBorder="1" applyAlignment="1" applyProtection="1">
      <alignment horizontal="center" vertical="center"/>
      <protection hidden="1"/>
    </xf>
    <xf numFmtId="0" fontId="29" fillId="26" borderId="14" xfId="0" applyFont="1" applyFill="1" applyBorder="1" applyAlignment="1" applyProtection="1">
      <alignment horizontal="center" vertical="center"/>
      <protection hidden="1"/>
    </xf>
    <xf numFmtId="0" fontId="29" fillId="26" borderId="26" xfId="0" applyFont="1" applyFill="1" applyBorder="1" applyAlignment="1" applyProtection="1">
      <alignment horizontal="center" vertical="center"/>
      <protection hidden="1"/>
    </xf>
    <xf numFmtId="0" fontId="16" fillId="13" borderId="20" xfId="0" applyFont="1" applyFill="1" applyBorder="1" applyAlignment="1" applyProtection="1">
      <alignment horizontal="center" vertical="center" wrapText="1"/>
      <protection hidden="1"/>
    </xf>
    <xf numFmtId="0" fontId="16" fillId="13" borderId="24" xfId="0" applyFont="1" applyFill="1" applyBorder="1" applyAlignment="1" applyProtection="1">
      <alignment horizontal="center" vertical="center" wrapText="1"/>
      <protection hidden="1"/>
    </xf>
    <xf numFmtId="0" fontId="16" fillId="13" borderId="25" xfId="0" applyFont="1" applyFill="1" applyBorder="1" applyAlignment="1" applyProtection="1">
      <alignment horizontal="center" vertical="center" wrapText="1"/>
      <protection hidden="1"/>
    </xf>
    <xf numFmtId="0" fontId="16" fillId="13" borderId="26" xfId="0" applyFont="1" applyFill="1" applyBorder="1" applyAlignment="1" applyProtection="1">
      <alignment horizontal="center" vertical="center" wrapText="1"/>
      <protection hidden="1"/>
    </xf>
    <xf numFmtId="0" fontId="29" fillId="25" borderId="38" xfId="0" applyFont="1" applyFill="1" applyBorder="1" applyAlignment="1" applyProtection="1">
      <alignment horizontal="center" vertical="center" wrapText="1"/>
      <protection hidden="1"/>
    </xf>
    <xf numFmtId="0" fontId="29" fillId="25" borderId="39" xfId="0" applyFont="1" applyFill="1" applyBorder="1" applyAlignment="1" applyProtection="1">
      <alignment horizontal="center" vertical="center" wrapText="1"/>
      <protection hidden="1"/>
    </xf>
    <xf numFmtId="0" fontId="29" fillId="25" borderId="40" xfId="0" applyFont="1" applyFill="1" applyBorder="1" applyAlignment="1" applyProtection="1">
      <alignment horizontal="center" vertical="center" wrapText="1"/>
      <protection hidden="1"/>
    </xf>
    <xf numFmtId="0" fontId="29" fillId="25" borderId="41" xfId="0" applyFont="1" applyFill="1" applyBorder="1" applyAlignment="1" applyProtection="1">
      <alignment horizontal="center" vertical="center" wrapText="1"/>
      <protection hidden="1"/>
    </xf>
    <xf numFmtId="0" fontId="39" fillId="0" borderId="20" xfId="0" applyFont="1" applyBorder="1" applyAlignment="1" applyProtection="1">
      <alignment horizontal="center" vertical="center" wrapText="1"/>
      <protection hidden="1"/>
    </xf>
    <xf numFmtId="0" fontId="23" fillId="0" borderId="24" xfId="0" applyFont="1" applyBorder="1" applyAlignment="1" applyProtection="1">
      <alignment horizontal="center" vertical="center" wrapText="1"/>
      <protection hidden="1"/>
    </xf>
    <xf numFmtId="0" fontId="23" fillId="0" borderId="42" xfId="0" applyFont="1" applyBorder="1" applyAlignment="1" applyProtection="1">
      <alignment horizontal="center" vertical="center" wrapText="1"/>
      <protection hidden="1"/>
    </xf>
    <xf numFmtId="0" fontId="23" fillId="0" borderId="43" xfId="0" applyFont="1" applyBorder="1" applyAlignment="1" applyProtection="1">
      <alignment horizontal="center" vertical="center" wrapText="1"/>
      <protection hidden="1"/>
    </xf>
    <xf numFmtId="0" fontId="29" fillId="11" borderId="37" xfId="0" applyFont="1" applyFill="1" applyBorder="1" applyAlignment="1" applyProtection="1">
      <alignment horizontal="center" vertical="center"/>
      <protection hidden="1"/>
    </xf>
    <xf numFmtId="0" fontId="10" fillId="0" borderId="42" xfId="0" applyFont="1" applyBorder="1" applyAlignment="1" applyProtection="1">
      <alignment horizontal="center" vertical="center"/>
      <protection hidden="1"/>
    </xf>
    <xf numFmtId="0" fontId="10" fillId="0" borderId="43" xfId="0" applyFont="1" applyBorder="1" applyAlignment="1" applyProtection="1">
      <alignment horizontal="center" vertical="center"/>
      <protection hidden="1"/>
    </xf>
    <xf numFmtId="0" fontId="10" fillId="0" borderId="42" xfId="0" applyFont="1" applyBorder="1" applyAlignment="1" applyProtection="1">
      <alignment horizontal="center" vertical="center" wrapText="1"/>
      <protection hidden="1"/>
    </xf>
    <xf numFmtId="0" fontId="10" fillId="0" borderId="43" xfId="0" applyFont="1" applyBorder="1" applyAlignment="1" applyProtection="1">
      <alignment horizontal="center" vertical="center" wrapText="1"/>
      <protection hidden="1"/>
    </xf>
    <xf numFmtId="0" fontId="10" fillId="0" borderId="25" xfId="0" applyFont="1" applyBorder="1" applyAlignment="1" applyProtection="1">
      <alignment horizontal="center" vertical="center" wrapText="1"/>
      <protection hidden="1"/>
    </xf>
    <xf numFmtId="0" fontId="10" fillId="0" borderId="26" xfId="0" applyFont="1" applyBorder="1" applyAlignment="1" applyProtection="1">
      <alignment horizontal="center" vertical="center" wrapText="1"/>
      <protection hidden="1"/>
    </xf>
    <xf numFmtId="0" fontId="12" fillId="13" borderId="30" xfId="0" applyFont="1" applyFill="1" applyBorder="1" applyAlignment="1" applyProtection="1">
      <alignment horizontal="center" vertical="center"/>
      <protection hidden="1"/>
    </xf>
    <xf numFmtId="0" fontId="12" fillId="13" borderId="31" xfId="0" applyFont="1" applyFill="1" applyBorder="1" applyAlignment="1" applyProtection="1">
      <alignment horizontal="center" vertical="center"/>
      <protection hidden="1"/>
    </xf>
    <xf numFmtId="0" fontId="12" fillId="13" borderId="32" xfId="0" applyFont="1" applyFill="1" applyBorder="1" applyAlignment="1" applyProtection="1">
      <alignment horizontal="center" vertical="center"/>
      <protection hidden="1"/>
    </xf>
    <xf numFmtId="0" fontId="12" fillId="13" borderId="33" xfId="0" applyFont="1" applyFill="1" applyBorder="1" applyAlignment="1" applyProtection="1">
      <alignment horizontal="center" vertical="center"/>
      <protection hidden="1"/>
    </xf>
    <xf numFmtId="0" fontId="12" fillId="13" borderId="20" xfId="0" applyFont="1" applyFill="1" applyBorder="1" applyAlignment="1" applyProtection="1">
      <alignment horizontal="center" vertical="center" wrapText="1"/>
      <protection hidden="1"/>
    </xf>
    <xf numFmtId="0" fontId="12" fillId="13" borderId="24" xfId="0" applyFont="1" applyFill="1" applyBorder="1" applyAlignment="1" applyProtection="1">
      <alignment horizontal="center" vertical="center" wrapText="1"/>
      <protection hidden="1"/>
    </xf>
    <xf numFmtId="0" fontId="12" fillId="13" borderId="25" xfId="0" applyFont="1" applyFill="1" applyBorder="1" applyAlignment="1" applyProtection="1">
      <alignment horizontal="center" vertical="center" wrapText="1"/>
      <protection hidden="1"/>
    </xf>
    <xf numFmtId="0" fontId="12" fillId="13" borderId="26" xfId="0" applyFont="1" applyFill="1" applyBorder="1" applyAlignment="1" applyProtection="1">
      <alignment horizontal="center" vertical="center" wrapText="1"/>
      <protection hidden="1"/>
    </xf>
    <xf numFmtId="0" fontId="12" fillId="13" borderId="28" xfId="0" applyFont="1" applyFill="1" applyBorder="1" applyAlignment="1" applyProtection="1">
      <alignment horizontal="center" vertical="center"/>
      <protection hidden="1"/>
    </xf>
    <xf numFmtId="0" fontId="12" fillId="13" borderId="29" xfId="0" applyFont="1" applyFill="1" applyBorder="1" applyAlignment="1" applyProtection="1">
      <alignment horizontal="center" vertical="center"/>
      <protection hidden="1"/>
    </xf>
    <xf numFmtId="0" fontId="53" fillId="2" borderId="20" xfId="0" applyFont="1" applyFill="1" applyBorder="1" applyAlignment="1" applyProtection="1">
      <alignment horizontal="center" vertical="center" wrapText="1"/>
      <protection hidden="1"/>
    </xf>
    <xf numFmtId="0" fontId="53" fillId="2" borderId="25" xfId="0" applyFont="1" applyFill="1" applyBorder="1" applyAlignment="1" applyProtection="1">
      <alignment horizontal="center" vertical="center" wrapText="1"/>
      <protection hidden="1"/>
    </xf>
    <xf numFmtId="0" fontId="53" fillId="26" borderId="24" xfId="0" applyFont="1" applyFill="1" applyBorder="1" applyAlignment="1" applyProtection="1">
      <alignment horizontal="center" vertical="center" wrapText="1" shrinkToFit="1"/>
      <protection hidden="1"/>
    </xf>
    <xf numFmtId="0" fontId="53" fillId="26" borderId="26" xfId="0" applyFont="1" applyFill="1" applyBorder="1" applyAlignment="1" applyProtection="1">
      <alignment horizontal="center" vertical="center" wrapText="1" shrinkToFit="1"/>
      <protection hidden="1"/>
    </xf>
    <xf numFmtId="6" fontId="8" fillId="27" borderId="37" xfId="0" applyNumberFormat="1" applyFont="1" applyFill="1" applyBorder="1" applyAlignment="1" applyProtection="1">
      <alignment horizontal="center" vertical="center" wrapText="1"/>
      <protection hidden="1"/>
    </xf>
    <xf numFmtId="0" fontId="16" fillId="0" borderId="14" xfId="0" applyFont="1" applyBorder="1" applyAlignment="1" applyProtection="1">
      <alignment horizontal="center" vertical="center" wrapText="1"/>
      <protection hidden="1"/>
    </xf>
    <xf numFmtId="0" fontId="12" fillId="13" borderId="28" xfId="0" applyFont="1" applyFill="1" applyBorder="1" applyAlignment="1" applyProtection="1">
      <alignment horizontal="center" vertical="center" wrapText="1"/>
      <protection hidden="1"/>
    </xf>
    <xf numFmtId="0" fontId="12" fillId="13" borderId="29" xfId="0" applyFont="1" applyFill="1" applyBorder="1" applyAlignment="1" applyProtection="1">
      <alignment horizontal="center" vertical="center" wrapText="1"/>
      <protection hidden="1"/>
    </xf>
    <xf numFmtId="0" fontId="43" fillId="0" borderId="0" xfId="0" applyFont="1" applyAlignment="1" applyProtection="1">
      <alignment horizontal="center" wrapText="1"/>
      <protection hidden="1"/>
    </xf>
    <xf numFmtId="0" fontId="8" fillId="13" borderId="34" xfId="0" applyFont="1" applyFill="1" applyBorder="1" applyAlignment="1" applyProtection="1">
      <alignment horizontal="center" vertical="center" wrapText="1"/>
      <protection hidden="1"/>
    </xf>
    <xf numFmtId="0" fontId="8" fillId="13" borderId="35" xfId="0" applyFont="1" applyFill="1" applyBorder="1" applyAlignment="1" applyProtection="1">
      <alignment horizontal="center" vertical="center" wrapText="1"/>
      <protection hidden="1"/>
    </xf>
  </cellXfs>
  <cellStyles count="21">
    <cellStyle name="Auto-spilling data" xfId="8" xr:uid="{86CAABEC-42EC-4DB0-A6A8-AA361DE9D5F1}"/>
    <cellStyle name="Calculations" xfId="9" xr:uid="{80BBE685-8D2C-45DE-80CB-6268BA02347C}"/>
    <cellStyle name="Comma" xfId="1" builtinId="3"/>
    <cellStyle name="Currency" xfId="2" builtinId="4"/>
    <cellStyle name="Final result" xfId="10" xr:uid="{6C9A293E-906B-4339-8951-12F3BB7E21B3}"/>
    <cellStyle name="Heading 1 3" xfId="4" xr:uid="{A613D79A-9776-48B4-B4EF-450B37F4FE6F}"/>
    <cellStyle name="Hyperlink" xfId="7" builtinId="8"/>
    <cellStyle name="Inputs" xfId="11" xr:uid="{A1B7FE76-7845-4638-9BA2-7E351F857BA3}"/>
    <cellStyle name="Normal" xfId="0" builtinId="0"/>
    <cellStyle name="Normal 4" xfId="6" xr:uid="{4592658D-2517-43A9-81F5-022300BCC912}"/>
    <cellStyle name="Normal 6" xfId="5" xr:uid="{43B55588-030A-4D98-B945-8FD6FB5D3694}"/>
    <cellStyle name="Notes" xfId="12" xr:uid="{50FF0B55-D60F-4F6C-8955-B3479615AA51}"/>
    <cellStyle name="Overriden" xfId="13" xr:uid="{238556F1-AB92-4DAD-BD2E-4FC64E005547}"/>
    <cellStyle name="Parameter" xfId="14" xr:uid="{D4B9527D-906D-4995-9231-CF0701968971}"/>
    <cellStyle name="Pasted data" xfId="15" xr:uid="{F4F89EA5-FBA7-41BC-9C00-B989FE7ADE32}"/>
    <cellStyle name="Per cent" xfId="3" builtinId="5"/>
    <cellStyle name="Random/misc" xfId="16" xr:uid="{7E830896-FAAE-4677-8D0B-BF65C39F46FC}"/>
    <cellStyle name="result row 1" xfId="17" xr:uid="{2A257820-33F9-4D78-AE4D-51E707170530}"/>
    <cellStyle name="result row 2" xfId="18" xr:uid="{F6D801CA-B53A-466A-9EB9-E2D67933814C}"/>
    <cellStyle name="Sub result" xfId="19" xr:uid="{47838FD8-488A-4400-8018-FF06E8A540E4}"/>
    <cellStyle name="Warnings / checks" xfId="20" xr:uid="{AC239BF2-A088-4F71-B088-973BA0A457B6}"/>
  </cellStyles>
  <dxfs count="24">
    <dxf>
      <font>
        <color theme="0"/>
      </font>
      <fill>
        <patternFill>
          <bgColor rgb="FF00B050"/>
        </patternFill>
      </fill>
    </dxf>
    <dxf>
      <font>
        <color theme="0"/>
      </font>
      <fill>
        <patternFill>
          <bgColor rgb="FF00B050"/>
        </patternFill>
      </fill>
    </dxf>
    <dxf>
      <font>
        <color theme="0"/>
      </font>
      <fill>
        <patternFill>
          <bgColor rgb="FF00B050"/>
        </patternFill>
      </fill>
    </dxf>
    <dxf>
      <font>
        <color theme="0"/>
      </font>
      <fill>
        <patternFill>
          <bgColor theme="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81294C"/>
        </patternFill>
      </fill>
    </dxf>
    <dxf>
      <font>
        <color theme="0"/>
      </font>
      <fill>
        <patternFill>
          <bgColor rgb="FF0F7B3F"/>
        </patternFill>
      </fill>
    </dxf>
    <dxf>
      <fill>
        <patternFill>
          <bgColor rgb="FFE8BC64"/>
        </patternFill>
      </fill>
    </dxf>
    <dxf>
      <font>
        <color theme="0"/>
      </font>
      <fill>
        <patternFill>
          <bgColor theme="0"/>
        </patternFill>
      </fill>
    </dxf>
    <dxf>
      <font>
        <color theme="0"/>
      </font>
    </dxf>
    <dxf>
      <font>
        <color theme="1"/>
      </font>
      <fill>
        <patternFill>
          <bgColor theme="1"/>
        </patternFill>
      </fill>
    </dxf>
    <dxf>
      <font>
        <color theme="0"/>
      </font>
      <fill>
        <patternFill>
          <bgColor theme="0"/>
        </patternFill>
      </fill>
    </dxf>
    <dxf>
      <font>
        <color theme="0"/>
      </font>
      <fill>
        <patternFill>
          <bgColor theme="0"/>
        </patternFill>
      </fill>
      <border>
        <left/>
        <right/>
        <top style="thin">
          <color auto="1"/>
        </top>
        <bottom/>
        <vertical/>
        <horizontal/>
      </border>
    </dxf>
    <dxf>
      <border>
        <left style="thin">
          <color rgb="FFFF0000"/>
        </left>
        <vertical/>
        <horizontal/>
      </border>
    </dxf>
    <dxf>
      <font>
        <color auto="1"/>
      </font>
      <fill>
        <patternFill>
          <bgColor theme="1"/>
        </patternFill>
      </fill>
      <border>
        <left/>
        <right/>
        <top/>
        <bottom/>
        <vertical/>
        <horizontal/>
      </border>
    </dxf>
    <dxf>
      <font>
        <color auto="1"/>
      </font>
      <fill>
        <patternFill>
          <bgColor theme="1"/>
        </patternFill>
      </fill>
    </dxf>
    <dxf>
      <fill>
        <patternFill>
          <bgColor theme="5" tint="0.7999816888943144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style="thin">
          <color auto="1"/>
        </right>
        <top style="thin">
          <color auto="1"/>
        </top>
        <bottom/>
        <vertical/>
        <horizontal/>
      </border>
    </dxf>
    <dxf>
      <font>
        <color theme="1"/>
      </font>
      <fill>
        <patternFill patternType="solid">
          <bgColor theme="1"/>
        </patternFill>
      </fill>
    </dxf>
    <dxf>
      <font>
        <color theme="1"/>
      </font>
      <fill>
        <patternFill>
          <bgColor theme="1"/>
        </patternFill>
      </fill>
    </dxf>
    <dxf>
      <font>
        <color auto="1"/>
      </font>
      <fill>
        <patternFill>
          <fgColor auto="1"/>
          <bgColor theme="1"/>
        </patternFill>
      </fill>
      <border>
        <left/>
        <right/>
        <top/>
        <bottom style="thin">
          <color auto="1"/>
        </bottom>
        <vertical/>
        <horizontal/>
      </border>
    </dxf>
    <dxf>
      <font>
        <color theme="1"/>
      </font>
      <fill>
        <patternFill patternType="solid">
          <bgColor theme="1"/>
        </patternFill>
      </fill>
      <border>
        <left/>
        <right/>
        <top style="thin">
          <color auto="1"/>
        </top>
        <bottom/>
        <vertical/>
        <horizontal/>
      </border>
    </dxf>
  </dxfs>
  <tableStyles count="0" defaultTableStyle="TableStyleMedium9" defaultPivotStyle="PivotStyleLight16"/>
  <colors>
    <mruColors>
      <color rgb="FF0F7B3F"/>
      <color rgb="FF81294C"/>
      <color rgb="FFD9FBE8"/>
      <color rgb="FFE8BC64"/>
      <color rgb="FFBEE395"/>
      <color rgb="FFD5FFE8"/>
      <color rgb="FFEDF2E2"/>
      <color rgb="FFFEF2E8"/>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bg1"/>
                </a:solidFill>
                <a:latin typeface="Open Sans" panose="020B0606030504020204" pitchFamily="34" charset="0"/>
                <a:ea typeface="Open Sans" panose="020B0606030504020204" pitchFamily="34" charset="0"/>
                <a:cs typeface="Open Sans" panose="020B0606030504020204" pitchFamily="34" charset="0"/>
              </a:defRPr>
            </a:pPr>
            <a:r>
              <a:rPr lang="en-US" sz="1200" baseline="0">
                <a:solidFill>
                  <a:schemeClr val="bg1"/>
                </a:solidFill>
                <a:latin typeface="Open Sans" panose="020B0606030504020204" pitchFamily="34" charset="0"/>
                <a:ea typeface="Open Sans" panose="020B0606030504020204" pitchFamily="34" charset="0"/>
                <a:cs typeface="Open Sans" panose="020B0606030504020204" pitchFamily="34" charset="0"/>
              </a:rPr>
              <a:t>Legacy Boost</a:t>
            </a:r>
          </a:p>
        </c:rich>
      </c:tx>
      <c:layout>
        <c:manualLayout>
          <c:xMode val="edge"/>
          <c:yMode val="edge"/>
          <c:x val="0.28329900406263375"/>
          <c:y val="1.73287602033033E-2"/>
        </c:manualLayout>
      </c:layout>
      <c:overlay val="0"/>
      <c:spPr>
        <a:solidFill>
          <a:srgbClr val="0F7B3F"/>
        </a:solidFill>
        <a:ln>
          <a:noFill/>
        </a:ln>
        <a:effectLst/>
      </c:spPr>
      <c:txPr>
        <a:bodyPr rot="0" spcFirstLastPara="1" vertOverflow="ellipsis" vert="horz" wrap="square" anchor="ctr" anchorCtr="1"/>
        <a:lstStyle/>
        <a:p>
          <a:pPr>
            <a:defRPr sz="1200" b="0" i="0" u="none" strike="noStrike" kern="1200" spc="0" baseline="0">
              <a:solidFill>
                <a:schemeClr val="bg1"/>
              </a:solidFill>
              <a:latin typeface="Open Sans" panose="020B0606030504020204" pitchFamily="34" charset="0"/>
              <a:ea typeface="Open Sans" panose="020B0606030504020204" pitchFamily="34" charset="0"/>
              <a:cs typeface="Open Sans" panose="020B0606030504020204" pitchFamily="34" charset="0"/>
            </a:defRPr>
          </a:pPr>
          <a:endParaRPr lang="en-US"/>
        </a:p>
      </c:txPr>
    </c:title>
    <c:autoTitleDeleted val="0"/>
    <c:plotArea>
      <c:layout>
        <c:manualLayout>
          <c:layoutTarget val="inner"/>
          <c:xMode val="edge"/>
          <c:yMode val="edge"/>
          <c:x val="0.36133597190231381"/>
          <c:y val="0.13735997542423747"/>
          <c:w val="0.39412673879443588"/>
          <c:h val="0.77585467342284653"/>
        </c:manualLayout>
      </c:layout>
      <c:barChart>
        <c:barDir val="col"/>
        <c:grouping val="clustered"/>
        <c:varyColors val="0"/>
        <c:ser>
          <c:idx val="0"/>
          <c:order val="0"/>
          <c:tx>
            <c:strRef>
              <c:f>Working!$O$22</c:f>
              <c:strCache>
                <c:ptCount val="1"/>
                <c:pt idx="0">
                  <c:v>£0.00m</c:v>
                </c:pt>
              </c:strCache>
            </c:strRef>
          </c:tx>
          <c:spPr>
            <a:solidFill>
              <a:srgbClr val="0F7B3F"/>
            </a:solidFill>
            <a:ln>
              <a:solidFill>
                <a:srgbClr val="00B050"/>
              </a:solidFill>
            </a:ln>
            <a:effectLst/>
          </c:spPr>
          <c:invertIfNegative val="0"/>
          <c:dLbls>
            <c:dLbl>
              <c:idx val="0"/>
              <c:layout>
                <c:manualLayout>
                  <c:x val="3.4138454643771532E-7"/>
                  <c:y val="3.9793287968985049E-2"/>
                </c:manualLayout>
              </c:layout>
              <c:tx>
                <c:rich>
                  <a:bodyPr rot="0" spcFirstLastPara="1" vertOverflow="ellipsis" vert="horz" wrap="square" lIns="38100" tIns="19050" rIns="38100" bIns="19050" anchor="ctr" anchorCtr="1">
                    <a:noAutofit/>
                  </a:bodyPr>
                  <a:lstStyle/>
                  <a:p>
                    <a:pPr>
                      <a:defRPr sz="1100" b="0" i="0" u="none" strike="noStrike" kern="1200" baseline="0">
                        <a:solidFill>
                          <a:srgbClr val="FF0000"/>
                        </a:solidFill>
                        <a:latin typeface="+mn-lt"/>
                        <a:ea typeface="+mn-ea"/>
                        <a:cs typeface="+mn-cs"/>
                      </a:defRPr>
                    </a:pPr>
                    <a:fld id="{8228A80E-E2A5-4878-B402-E5A4F56770F3}" type="VALUE">
                      <a:rPr lang="en-US" b="1">
                        <a:solidFill>
                          <a:srgbClr val="0F7B3F"/>
                        </a:solidFill>
                      </a:rPr>
                      <a:pPr>
                        <a:defRPr sz="1100">
                          <a:solidFill>
                            <a:srgbClr val="FF0000"/>
                          </a:solidFill>
                        </a:defRPr>
                      </a:pPr>
                      <a:t>[VALUE]</a:t>
                    </a:fld>
                    <a:endParaRPr lang="en-GB"/>
                  </a:p>
                </c:rich>
              </c:tx>
              <c:numFmt formatCode="&quot;£&quot;0.00&quot;m&quot;" sourceLinked="0"/>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rgbClr val="FF0000"/>
                      </a:solidFill>
                      <a:latin typeface="+mn-lt"/>
                      <a:ea typeface="+mn-ea"/>
                      <a:cs typeface="+mn-cs"/>
                    </a:defRPr>
                  </a:pPr>
                  <a:endParaRPr lang="en-GB"/>
                </a:p>
              </c:txPr>
              <c:dLblPos val="outEnd"/>
              <c:showLegendKey val="0"/>
              <c:showVal val="1"/>
              <c:showCatName val="0"/>
              <c:showSerName val="0"/>
              <c:showPercent val="0"/>
              <c:showBubbleSize val="0"/>
              <c:extLst>
                <c:ext xmlns:c15="http://schemas.microsoft.com/office/drawing/2012/chart" uri="{CE6537A1-D6FC-4f65-9D91-7224C49458BB}">
                  <c15:layout>
                    <c:manualLayout>
                      <c:w val="0.60862924545821995"/>
                      <c:h val="0.14596178027023718"/>
                    </c:manualLayout>
                  </c15:layout>
                  <c15:dlblFieldTable/>
                  <c15:showDataLabelsRange val="0"/>
                </c:ext>
                <c:ext xmlns:c16="http://schemas.microsoft.com/office/drawing/2014/chart" uri="{C3380CC4-5D6E-409C-BE32-E72D297353CC}">
                  <c16:uniqueId val="{00000001-0A2C-4C22-8D53-35C766A82C7D}"/>
                </c:ext>
              </c:extLst>
            </c:dLbl>
            <c:numFmt formatCode="&quot;£&quot;0.00&quot;m&quot;"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rgbClr val="FF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Working!$O$23</c:f>
              <c:numCache>
                <c:formatCode>0.00%</c:formatCode>
                <c:ptCount val="1"/>
                <c:pt idx="0">
                  <c:v>0</c:v>
                </c:pt>
              </c:numCache>
            </c:numRef>
          </c:cat>
          <c:val>
            <c:numRef>
              <c:f>Working!$O$22</c:f>
              <c:numCache>
                <c:formatCode>"£"0.00"m"</c:formatCode>
                <c:ptCount val="1"/>
                <c:pt idx="0">
                  <c:v>0</c:v>
                </c:pt>
              </c:numCache>
            </c:numRef>
          </c:val>
          <c:extLst>
            <c:ext xmlns:c16="http://schemas.microsoft.com/office/drawing/2014/chart" uri="{C3380CC4-5D6E-409C-BE32-E72D297353CC}">
              <c16:uniqueId val="{00000000-0A2C-4C22-8D53-35C766A82C7D}"/>
            </c:ext>
          </c:extLst>
        </c:ser>
        <c:dLbls>
          <c:dLblPos val="outEnd"/>
          <c:showLegendKey val="0"/>
          <c:showVal val="1"/>
          <c:showCatName val="0"/>
          <c:showSerName val="0"/>
          <c:showPercent val="0"/>
          <c:showBubbleSize val="0"/>
        </c:dLbls>
        <c:gapWidth val="219"/>
        <c:overlap val="-27"/>
        <c:axId val="823952431"/>
        <c:axId val="823952911"/>
      </c:barChart>
      <c:catAx>
        <c:axId val="823952431"/>
        <c:scaling>
          <c:orientation val="minMax"/>
        </c:scaling>
        <c:delete val="0"/>
        <c:axPos val="b"/>
        <c:numFmt formatCode="0.00%" sourceLinked="1"/>
        <c:majorTickMark val="out"/>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rgbClr val="0F7B3F"/>
                </a:solidFill>
                <a:latin typeface="+mn-lt"/>
                <a:ea typeface="+mn-ea"/>
                <a:cs typeface="+mn-cs"/>
              </a:defRPr>
            </a:pPr>
            <a:endParaRPr lang="en-US"/>
          </a:p>
        </c:txPr>
        <c:crossAx val="823952911"/>
        <c:crosses val="autoZero"/>
        <c:auto val="1"/>
        <c:lblAlgn val="ctr"/>
        <c:lblOffset val="100"/>
        <c:noMultiLvlLbl val="0"/>
      </c:catAx>
      <c:valAx>
        <c:axId val="823952911"/>
        <c:scaling>
          <c:orientation val="minMax"/>
        </c:scaling>
        <c:delete val="1"/>
        <c:axPos val="l"/>
        <c:majorGridlines>
          <c:spPr>
            <a:ln w="9525" cap="flat" cmpd="sng" algn="ctr">
              <a:solidFill>
                <a:schemeClr val="tx1">
                  <a:lumMod val="15000"/>
                  <a:lumOff val="85000"/>
                </a:schemeClr>
              </a:solidFill>
              <a:round/>
            </a:ln>
            <a:effectLst/>
          </c:spPr>
        </c:majorGridlines>
        <c:numFmt formatCode="&quot;£&quot;0.00&quot;m&quot;" sourceLinked="1"/>
        <c:majorTickMark val="out"/>
        <c:minorTickMark val="none"/>
        <c:tickLblPos val="nextTo"/>
        <c:crossAx val="82395243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rgbClr val="81294C"/>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175260</xdr:rowOff>
    </xdr:from>
    <xdr:to>
      <xdr:col>24</xdr:col>
      <xdr:colOff>464820</xdr:colOff>
      <xdr:row>36</xdr:row>
      <xdr:rowOff>861060</xdr:rowOff>
    </xdr:to>
    <xdr:sp macro="" textlink="">
      <xdr:nvSpPr>
        <xdr:cNvPr id="2" name="TextBox 1">
          <a:extLst>
            <a:ext uri="{FF2B5EF4-FFF2-40B4-BE49-F238E27FC236}">
              <a16:creationId xmlns:a16="http://schemas.microsoft.com/office/drawing/2014/main" id="{1C64D293-92D0-1B92-11AC-F4AFBD951348}"/>
            </a:ext>
          </a:extLst>
        </xdr:cNvPr>
        <xdr:cNvSpPr txBox="1"/>
      </xdr:nvSpPr>
      <xdr:spPr>
        <a:xfrm>
          <a:off x="274320" y="358140"/>
          <a:ext cx="11910060" cy="7086600"/>
        </a:xfrm>
        <a:prstGeom prst="rect">
          <a:avLst/>
        </a:prstGeom>
        <a:solidFill>
          <a:schemeClr val="lt1"/>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b="0" i="0">
            <a:solidFill>
              <a:schemeClr val="dk1"/>
            </a:solidFill>
            <a:effectLst/>
            <a:latin typeface="+mn-lt"/>
            <a:ea typeface="+mn-ea"/>
            <a:cs typeface="+mn-cs"/>
          </a:endParaRPr>
        </a:p>
        <a:p>
          <a:endParaRPr lang="en-GB" sz="1100" b="0" i="0">
            <a:solidFill>
              <a:schemeClr val="dk1"/>
            </a:solidFill>
            <a:effectLst/>
            <a:latin typeface="+mn-lt"/>
            <a:ea typeface="+mn-ea"/>
            <a:cs typeface="+mn-cs"/>
          </a:endParaRPr>
        </a:p>
        <a:p>
          <a:endParaRPr lang="en-GB" sz="1100" b="0" i="0">
            <a:solidFill>
              <a:schemeClr val="dk1"/>
            </a:solidFill>
            <a:effectLst/>
            <a:latin typeface="+mn-lt"/>
            <a:ea typeface="+mn-ea"/>
            <a:cs typeface="+mn-cs"/>
          </a:endParaRPr>
        </a:p>
        <a:p>
          <a:endParaRPr lang="en-GB" sz="1100" b="0" i="0">
            <a:solidFill>
              <a:schemeClr val="dk1"/>
            </a:solidFill>
            <a:effectLst/>
            <a:latin typeface="+mn-lt"/>
            <a:ea typeface="+mn-ea"/>
            <a:cs typeface="+mn-cs"/>
          </a:endParaRPr>
        </a:p>
        <a:p>
          <a:endParaRPr lang="en-GB" sz="16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24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Pension crystallisation tool</a:t>
          </a:r>
        </a:p>
        <a:p>
          <a:pPr marL="0" indent="0">
            <a:buFont typeface="Arial" panose="020B0604020202020204" pitchFamily="34" charset="0"/>
            <a:buNone/>
          </a:pPr>
          <a:endParaRPr lang="en-GB" sz="16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indent="0">
            <a:buFont typeface="Arial" panose="020B0604020202020204" pitchFamily="34" charset="0"/>
            <a:buNone/>
          </a:pPr>
          <a:r>
            <a:rPr lang="en-GB" sz="14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Please read the following then click the button at the bottom of the page to confirm you have read and understood the conditions of using this tool and its limitations.</a:t>
          </a:r>
        </a:p>
        <a:p>
          <a:pPr marL="171450" indent="-171450">
            <a:buFont typeface="Arial" panose="020B0604020202020204" pitchFamily="34" charset="0"/>
            <a:buChar char="•"/>
          </a:pPr>
          <a:endParaRPr lang="en-GB" sz="16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171450" indent="-171450">
            <a:buFont typeface="Arial" panose="020B0604020202020204" pitchFamily="34" charset="0"/>
            <a:buChar char="•"/>
          </a:pPr>
          <a:r>
            <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Purpose and scope: This tool serves as a ‘proof of concept’ for your pension crystallisation strategies, focusing on the potential IHT impact of moving PCLS into trust and initiating pension withdrawals. It is not a comprehensive cashflow or advice planning tool.</a:t>
          </a:r>
        </a:p>
        <a:p>
          <a:pPr marL="171450" indent="-171450">
            <a:buFont typeface="Arial" panose="020B0604020202020204" pitchFamily="34" charset="0"/>
            <a:buChar char="•"/>
          </a:pPr>
          <a:endPar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171450" indent="-171450">
            <a:buFont typeface="Arial" panose="020B0604020202020204" pitchFamily="34" charset="0"/>
            <a:buChar char="•"/>
          </a:pPr>
          <a:r>
            <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tool is for financial advisers’ use only and is not designed to be shared with clients. Each client situation will be different, and this tool should not be relied upon to justify a personal recommendation. Users can save or print results for future reference.</a:t>
          </a:r>
        </a:p>
        <a:p>
          <a:pPr marL="171450" indent="-171450">
            <a:buFont typeface="Arial" panose="020B0604020202020204" pitchFamily="34" charset="0"/>
            <a:buChar char="•"/>
          </a:pPr>
          <a:endPar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171450" indent="-171450">
            <a:buFont typeface="Arial" panose="020B0604020202020204" pitchFamily="34" charset="0"/>
            <a:buChar char="•"/>
          </a:pPr>
          <a:r>
            <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tool models single life and second death scenarios for married or civil partners, assuming all assets pass to the survivor on the first death.</a:t>
          </a:r>
        </a:p>
        <a:p>
          <a:pPr marL="171450" indent="-171450">
            <a:buFont typeface="Arial" panose="020B0604020202020204" pitchFamily="34" charset="0"/>
            <a:buChar char="•"/>
          </a:pPr>
          <a:endPar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171450" indent="-171450">
            <a:buFont typeface="Arial" panose="020B0604020202020204" pitchFamily="34" charset="0"/>
            <a:buChar char="•"/>
          </a:pPr>
          <a:r>
            <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tool is not suitable for client scenarios where life expectancy is under seven years, due to the timeframe needed for PCLS moved into trust to fall outside the taxable estate. It also does not consider IHT taper relief.</a:t>
          </a:r>
        </a:p>
        <a:p>
          <a:pPr marL="171450" indent="-171450">
            <a:buFont typeface="Arial" panose="020B0604020202020204" pitchFamily="34" charset="0"/>
            <a:buChar char="•"/>
          </a:pPr>
          <a:endPar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171450" indent="-171450">
            <a:buFont typeface="Arial" panose="020B0604020202020204" pitchFamily="34" charset="0"/>
            <a:buChar char="•"/>
          </a:pPr>
          <a:r>
            <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IHT will apply to unused pension funds and death benefits from 6th April 2027; until then, pension death benefits remain outside the IHT net. Careful consideration is needed when taking PCLS and should be based on individual client circumstances.</a:t>
          </a:r>
        </a:p>
        <a:p>
          <a:pPr marL="171450" indent="-171450">
            <a:buFont typeface="Arial" panose="020B0604020202020204" pitchFamily="34" charset="0"/>
            <a:buChar char="•"/>
          </a:pPr>
          <a:endPar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171450" indent="-171450">
            <a:buFont typeface="Arial" panose="020B0604020202020204" pitchFamily="34" charset="0"/>
            <a:buChar char="•"/>
          </a:pPr>
          <a:r>
            <a:rPr lang="en-GB" sz="14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tool is based on our understanding of the government's policy and draft legislation as at September 2025 and may be subject to change.</a:t>
          </a:r>
        </a:p>
        <a:p>
          <a:endParaRPr lang="en-GB" sz="1100"/>
        </a:p>
        <a:p>
          <a:endParaRPr lang="en-GB" sz="1100"/>
        </a:p>
      </xdr:txBody>
    </xdr:sp>
    <xdr:clientData/>
  </xdr:twoCellAnchor>
  <xdr:twoCellAnchor editAs="oneCell">
    <xdr:from>
      <xdr:col>1</xdr:col>
      <xdr:colOff>106680</xdr:colOff>
      <xdr:row>2</xdr:row>
      <xdr:rowOff>137160</xdr:rowOff>
    </xdr:from>
    <xdr:to>
      <xdr:col>5</xdr:col>
      <xdr:colOff>378434</xdr:colOff>
      <xdr:row>6</xdr:row>
      <xdr:rowOff>164115</xdr:rowOff>
    </xdr:to>
    <xdr:pic>
      <xdr:nvPicPr>
        <xdr:cNvPr id="3" name="Picture 2">
          <a:extLst>
            <a:ext uri="{FF2B5EF4-FFF2-40B4-BE49-F238E27FC236}">
              <a16:creationId xmlns:a16="http://schemas.microsoft.com/office/drawing/2014/main" id="{0237DC1E-F0C4-401D-A682-D185AEA1DC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16280" y="502920"/>
          <a:ext cx="2250414" cy="763555"/>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115776</xdr:colOff>
      <xdr:row>28</xdr:row>
      <xdr:rowOff>11067</xdr:rowOff>
    </xdr:from>
    <xdr:to>
      <xdr:col>14</xdr:col>
      <xdr:colOff>38100</xdr:colOff>
      <xdr:row>42</xdr:row>
      <xdr:rowOff>135799</xdr:rowOff>
    </xdr:to>
    <xdr:sp macro="" textlink="">
      <xdr:nvSpPr>
        <xdr:cNvPr id="4" name="Rectangle 3">
          <a:extLst>
            <a:ext uri="{FF2B5EF4-FFF2-40B4-BE49-F238E27FC236}">
              <a16:creationId xmlns:a16="http://schemas.microsoft.com/office/drawing/2014/main" id="{3B2D287D-E076-3616-7486-383644AF921F}"/>
            </a:ext>
          </a:extLst>
        </xdr:cNvPr>
        <xdr:cNvSpPr/>
      </xdr:nvSpPr>
      <xdr:spPr>
        <a:xfrm>
          <a:off x="3125676" y="8214632"/>
          <a:ext cx="15676674" cy="4509407"/>
        </a:xfrm>
        <a:prstGeom prst="rect">
          <a:avLst/>
        </a:prstGeom>
        <a:noFill/>
      </xdr:spPr>
      <xdr:txBody>
        <a:bodyPr wrap="square" lIns="91440" tIns="45720" rIns="91440" bIns="45720">
          <a:noAutofit/>
          <a:scene3d>
            <a:camera prst="orthographicFront"/>
            <a:lightRig rig="harsh" dir="t"/>
          </a:scene3d>
          <a:sp3d extrusionH="57150" prstMaterial="matte">
            <a:bevelT w="63500" h="12700" prst="angle"/>
            <a:contourClr>
              <a:schemeClr val="bg1">
                <a:lumMod val="65000"/>
              </a:schemeClr>
            </a:contourClr>
          </a:sp3d>
        </a:bodyPr>
        <a:lstStyle/>
        <a:p>
          <a:pPr algn="ctr"/>
          <a:r>
            <a:rPr lang="en-GB" sz="9600" b="1" cap="none" spc="0">
              <a:ln/>
              <a:solidFill>
                <a:srgbClr val="0F7B3F">
                  <a:alpha val="6000"/>
                </a:srgbClr>
              </a:solidFill>
              <a:effectLst/>
              <a:latin typeface="Sabon Next LT" panose="02000500000000000000" pitchFamily="2" charset="0"/>
              <a:ea typeface="Open Sans" panose="020B0606030504020204" pitchFamily="34" charset="0"/>
              <a:cs typeface="Sabon Next LT" panose="02000500000000000000" pitchFamily="2" charset="0"/>
            </a:rPr>
            <a:t>Quilter</a:t>
          </a:r>
        </a:p>
      </xdr:txBody>
    </xdr:sp>
    <xdr:clientData/>
  </xdr:twoCellAnchor>
  <xdr:twoCellAnchor editAs="oneCell">
    <xdr:from>
      <xdr:col>1</xdr:col>
      <xdr:colOff>277092</xdr:colOff>
      <xdr:row>2</xdr:row>
      <xdr:rowOff>1</xdr:rowOff>
    </xdr:from>
    <xdr:to>
      <xdr:col>1</xdr:col>
      <xdr:colOff>2527506</xdr:colOff>
      <xdr:row>4</xdr:row>
      <xdr:rowOff>100616</xdr:rowOff>
    </xdr:to>
    <xdr:pic>
      <xdr:nvPicPr>
        <xdr:cNvPr id="7" name="Picture 6">
          <a:extLst>
            <a:ext uri="{FF2B5EF4-FFF2-40B4-BE49-F238E27FC236}">
              <a16:creationId xmlns:a16="http://schemas.microsoft.com/office/drawing/2014/main" id="{0727A3B6-81FD-F044-9F12-CC37689E0E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21872" y="464821"/>
          <a:ext cx="2250414" cy="763555"/>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257740</xdr:colOff>
      <xdr:row>13</xdr:row>
      <xdr:rowOff>338667</xdr:rowOff>
    </xdr:from>
    <xdr:to>
      <xdr:col>6</xdr:col>
      <xdr:colOff>1331467</xdr:colOff>
      <xdr:row>32</xdr:row>
      <xdr:rowOff>25728</xdr:rowOff>
    </xdr:to>
    <xdr:graphicFrame macro="">
      <xdr:nvGraphicFramePr>
        <xdr:cNvPr id="3" name="Chart 2">
          <a:extLst>
            <a:ext uri="{FF2B5EF4-FFF2-40B4-BE49-F238E27FC236}">
              <a16:creationId xmlns:a16="http://schemas.microsoft.com/office/drawing/2014/main" id="{430FE2F4-2050-04F7-75E9-97BCE8B64D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106082</xdr:colOff>
      <xdr:row>40</xdr:row>
      <xdr:rowOff>21664</xdr:rowOff>
    </xdr:from>
    <xdr:to>
      <xdr:col>13</xdr:col>
      <xdr:colOff>1002553</xdr:colOff>
      <xdr:row>76</xdr:row>
      <xdr:rowOff>219075</xdr:rowOff>
    </xdr:to>
    <xdr:sp macro="" textlink="">
      <xdr:nvSpPr>
        <xdr:cNvPr id="2" name="TextBox 1">
          <a:extLst>
            <a:ext uri="{FF2B5EF4-FFF2-40B4-BE49-F238E27FC236}">
              <a16:creationId xmlns:a16="http://schemas.microsoft.com/office/drawing/2014/main" id="{683CE77F-E23C-7F75-FA26-274DC7352259}"/>
            </a:ext>
          </a:extLst>
        </xdr:cNvPr>
        <xdr:cNvSpPr txBox="1"/>
      </xdr:nvSpPr>
      <xdr:spPr>
        <a:xfrm>
          <a:off x="106082" y="11508814"/>
          <a:ext cx="18355796" cy="111702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a:p>
          <a:endParaRPr lang="en-GB" sz="1100"/>
        </a:p>
        <a:p>
          <a:endParaRPr lang="en-GB" sz="1100"/>
        </a:p>
        <a:p>
          <a:endParaRPr lang="en-GB" sz="1100"/>
        </a:p>
        <a:p>
          <a:r>
            <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Important information about this tool</a:t>
          </a:r>
        </a:p>
        <a:p>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tool is designed to illustrate the potential impact of defined contribution (DC) pensions being brought within the scope of the inheritance tax (IHT) regime, specifically in relation to single life and second death scenarios</a:t>
          </a:r>
          <a:r>
            <a:rPr lang="en-GB" sz="11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where both lives are married/civil partners (otherwise single calculations would apply)</a:t>
          </a: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Second</a:t>
          </a:r>
          <a:r>
            <a:rPr lang="en-GB" sz="11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death assumes everything is all left to the survivor after the first death.</a:t>
          </a:r>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It is </a:t>
          </a:r>
          <a:r>
            <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a:t>
          </a: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 comprehensive cashflow modelling tool and does </a:t>
          </a:r>
          <a:r>
            <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a:t>
          </a: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account for the following:</a:t>
          </a:r>
        </a:p>
        <a:p>
          <a:pPr marL="171450" indent="-171450">
            <a:buFont typeface="Arial" panose="020B0604020202020204" pitchFamily="34" charset="0"/>
            <a:buChar cha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full income tax implications of clients currently drawing pension income.</a:t>
          </a:r>
        </a:p>
        <a:p>
          <a:pPr marL="171450" indent="-171450">
            <a:buFont typeface="Arial" panose="020B0604020202020204" pitchFamily="34" charset="0"/>
            <a:buChar cha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Relevant Benefit Crystallisation Events (RBCEs) or previously used Lifetime Allowance (LTA).</a:t>
          </a:r>
        </a:p>
        <a:p>
          <a:pPr marL="171450" indent="-171450">
            <a:buFont typeface="Arial" panose="020B0604020202020204" pitchFamily="34" charset="0"/>
            <a:buChar cha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value of any Lump Sum Allowance (LSA), Lump Sum Death Benefit Allowance (LSDBA), or associated income tax charges where these limits are exceeded.</a:t>
          </a:r>
        </a:p>
        <a:p>
          <a:pPr marL="171450" indent="-171450">
            <a:buFont typeface="Arial" panose="020B0604020202020204" pitchFamily="34" charset="0"/>
            <a:buChar cha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Any forms of pension protection held by the client(s), such as Fixed or Individual Protection.</a:t>
          </a:r>
        </a:p>
        <a:p>
          <a:pPr marL="171450" indent="-171450">
            <a:buFont typeface="Arial" panose="020B0604020202020204" pitchFamily="34" charset="0"/>
            <a:buChar char="•"/>
          </a:pPr>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accuracy of the results is dependent on the accuracy of the information inputted. The growth rate for ‘net-wrapped’ assets is set at 1% p.a. lower than the input gross wrapper asset assumptions, reflecting the difference in tax treatment.</a:t>
          </a:r>
        </a:p>
        <a:p>
          <a:b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b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tool does </a:t>
          </a:r>
          <a:r>
            <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a:t>
          </a: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factor in the rates of income tax payable on DC pension income withdrawals.</a:t>
          </a:r>
          <a:r>
            <a:rPr lang="en-GB" sz="11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The effective tax rate for beneficiaries assumes no other income than the Pension net of IHT.</a:t>
          </a:r>
          <a:b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br>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Life expectancy is estimated using ONS National Life Tables, United Kingdom, based on data for the years 2021-2023. As gender-specific rates are used, combinations such as Male 1st Life / Female 2nd Life will produce different outcomes compared to same-gender scenarios.</a:t>
          </a:r>
          <a:endParaRPr lang="en-GB">
            <a:effectLst/>
            <a:latin typeface="Open Sans" panose="020B0606030504020204" pitchFamily="34" charset="0"/>
            <a:ea typeface="Open Sans" panose="020B0606030504020204" pitchFamily="34" charset="0"/>
            <a:cs typeface="Open Sans" panose="020B0606030504020204" pitchFamily="34" charset="0"/>
          </a:endParaRPr>
        </a:p>
        <a:p>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Advisers are responsible for determining the available Pension Commencement Lump Sum (PCLS) against the remaining Lump Sum Allowance for both Life 1 and Life 2. This tool does </a:t>
          </a:r>
          <a:r>
            <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a:t>
          </a: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calculate this.</a:t>
          </a:r>
          <a:b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br>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This tool assumes:</a:t>
          </a:r>
        </a:p>
        <a:p>
          <a:pPr marL="171450" indent="-171450">
            <a:buFont typeface="Arial" panose="020B0604020202020204" pitchFamily="34" charset="0"/>
            <a:buChar cha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The scenario represents the </a:t>
          </a:r>
          <a:r>
            <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first Chargeable Lifetime Transfer (CLT)</a:t>
          </a: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t>
          </a:r>
        </a:p>
        <a:p>
          <a:pPr marL="171450" indent="-171450">
            <a:buFont typeface="Arial" panose="020B0604020202020204" pitchFamily="34" charset="0"/>
            <a:buChar cha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 other CLTs or Potentially Exempt Transfers (PETs) have been made in the preceding seven years.</a:t>
          </a:r>
          <a:endParaRPr lang="en-GB" sz="1100" b="0" i="0" strike="dbl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Advisers should ensure that appropriate tax planning and trust structuring are considered, and clients are made aware that actual tax outcomes will depend on future legislation, investment performance, and individual circumstances.</a:t>
          </a:r>
          <a:endPar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Further Guidance</a:t>
          </a:r>
        </a:p>
        <a:p>
          <a:endParaRPr lang="en-GB" sz="11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official guidance, please refer to: Inheritance Tax on unused pension funds and death benefits </a:t>
          </a:r>
          <a:r>
            <a:rPr lang="en-GB" sz="1100" u="sng">
              <a:solidFill>
                <a:schemeClr val="accent1"/>
              </a:solidFill>
              <a:effectLst/>
              <a:latin typeface="Open Sans" panose="020B0606030504020204" pitchFamily="34" charset="0"/>
              <a:ea typeface="Open Sans" panose="020B0606030504020204" pitchFamily="34" charset="0"/>
              <a:cs typeface="Open Sans" panose="020B0606030504020204" pitchFamily="34" charset="0"/>
            </a:rPr>
            <a:t>– </a:t>
          </a:r>
          <a:r>
            <a:rPr lang="en-GB">
              <a:latin typeface="Open Sans" panose="020B0606030504020204" pitchFamily="34" charset="0"/>
              <a:ea typeface="Open Sans" panose="020B0606030504020204" pitchFamily="34" charset="0"/>
              <a:cs typeface="Open Sans" panose="020B0606030504020204" pitchFamily="34" charset="0"/>
              <a:hlinkClick xmlns:r="http://schemas.openxmlformats.org/officeDocument/2006/relationships" r:id=""/>
            </a:rPr>
            <a:t>Inheritance Tax on unused pension funds and death benefits - GOV.UK</a:t>
          </a:r>
          <a:endParaRPr lang="en-GB" sz="1100" u="sng">
            <a:solidFill>
              <a:schemeClr val="accent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additional insights on trusts and IHT planning, visit: Quilter Trusts and IHT Planning - </a:t>
          </a:r>
          <a:r>
            <a:rPr lang="en-GB" sz="1100" u="sng">
              <a:solidFill>
                <a:schemeClr val="dk1"/>
              </a:solidFill>
              <a:effectLst/>
              <a:latin typeface="Open Sans" panose="020B0606030504020204" pitchFamily="34" charset="0"/>
              <a:ea typeface="Open Sans" panose="020B0606030504020204" pitchFamily="34" charset="0"/>
              <a:cs typeface="Open Sans" panose="020B0606030504020204" pitchFamily="34" charset="0"/>
              <a:hlinkClick xmlns:r="http://schemas.openxmlformats.org/officeDocument/2006/relationships" r:id=""/>
            </a:rPr>
            <a:t>https://www.quilter.com/solutions/trusts-and-iht-planning/trust-range/</a:t>
          </a:r>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en-GB" sz="11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en-GB" sz="1100" b="1">
              <a:latin typeface="Open Sans" panose="020B0606030504020204" pitchFamily="34" charset="0"/>
              <a:ea typeface="Open Sans" panose="020B0606030504020204" pitchFamily="34" charset="0"/>
              <a:cs typeface="Open Sans" panose="020B0606030504020204" pitchFamily="34" charset="0"/>
            </a:rPr>
            <a:t>Legal</a:t>
          </a:r>
        </a:p>
        <a:p>
          <a:endParaRPr lang="en-GB" sz="1100" b="1">
            <a:latin typeface="Open Sans" panose="020B0606030504020204" pitchFamily="34" charset="0"/>
            <a:ea typeface="Open Sans" panose="020B0606030504020204" pitchFamily="34" charset="0"/>
            <a:cs typeface="Open Sans" panose="020B0606030504020204" pitchFamily="34" charset="0"/>
          </a:endParaRPr>
        </a:p>
        <a:p>
          <a:r>
            <a:rPr lang="en-GB" sz="1100">
              <a:latin typeface="Open Sans" panose="020B0606030504020204" pitchFamily="34" charset="0"/>
              <a:ea typeface="Open Sans" panose="020B0606030504020204" pitchFamily="34" charset="0"/>
              <a:cs typeface="Open Sans" panose="020B0606030504020204" pitchFamily="34" charset="0"/>
            </a:rPr>
            <a:t>Please note, neither Quilter nor its employees are authorised to provide tax or legal advice and we cannot accept responsibility for any action taken or refrained from being taken as a result of the information contained in this calculator.</a:t>
          </a:r>
        </a:p>
        <a:p>
          <a:r>
            <a:rPr lang="en-GB" sz="1100">
              <a:latin typeface="Open Sans" panose="020B0606030504020204" pitchFamily="34" charset="0"/>
              <a:ea typeface="Open Sans" panose="020B0606030504020204" pitchFamily="34" charset="0"/>
              <a:cs typeface="Open Sans" panose="020B0606030504020204" pitchFamily="34" charset="0"/>
            </a:rPr>
            <a:t>This document is based on Quilter’s interpretation of the law and HMRC’s practice as at September 2025 and our</a:t>
          </a:r>
          <a:r>
            <a:rPr lang="en-GB" sz="1100" baseline="0">
              <a:latin typeface="Open Sans" panose="020B0606030504020204" pitchFamily="34" charset="0"/>
              <a:ea typeface="Open Sans" panose="020B0606030504020204" pitchFamily="34" charset="0"/>
              <a:cs typeface="Open Sans" panose="020B0606030504020204" pitchFamily="34" charset="0"/>
            </a:rPr>
            <a:t> current understanding of the Finance Bill</a:t>
          </a:r>
          <a:r>
            <a:rPr lang="en-GB" sz="1100">
              <a:latin typeface="Open Sans" panose="020B0606030504020204" pitchFamily="34" charset="0"/>
              <a:ea typeface="Open Sans" panose="020B0606030504020204" pitchFamily="34" charset="0"/>
              <a:cs typeface="Open Sans" panose="020B0606030504020204" pitchFamily="34" charset="0"/>
            </a:rPr>
            <a:t>. We believe this interpretation is correct, but cannot guarantee it. Tax relief and the tax treatment of investment funds may change. The amount of any tax relief will depend on the investor’s individual circumstances.</a:t>
          </a:r>
        </a:p>
        <a:p>
          <a:endParaRPr lang="en-GB" sz="1100">
            <a:latin typeface="Open Sans" panose="020B0606030504020204" pitchFamily="34" charset="0"/>
            <a:ea typeface="Open Sans" panose="020B0606030504020204" pitchFamily="34" charset="0"/>
            <a:cs typeface="Open Sans" panose="020B0606030504020204" pitchFamily="34" charset="0"/>
          </a:endParaRPr>
        </a:p>
        <a:p>
          <a:r>
            <a:rPr lang="en-GB" sz="1100">
              <a:latin typeface="Open Sans" panose="020B0606030504020204" pitchFamily="34" charset="0"/>
              <a:ea typeface="Open Sans" panose="020B0606030504020204" pitchFamily="34" charset="0"/>
              <a:cs typeface="Open Sans" panose="020B0606030504020204" pitchFamily="34" charset="0"/>
            </a:rPr>
            <a:t>Quilter is the trading name of Quilter Investment Platform Limited and Quilter Life &amp; Pensions Limited.</a:t>
          </a:r>
        </a:p>
        <a:p>
          <a:r>
            <a:rPr lang="en-GB" sz="1100">
              <a:latin typeface="Open Sans" panose="020B0606030504020204" pitchFamily="34" charset="0"/>
              <a:ea typeface="Open Sans" panose="020B0606030504020204" pitchFamily="34" charset="0"/>
              <a:cs typeface="Open Sans" panose="020B0606030504020204" pitchFamily="34" charset="0"/>
            </a:rPr>
            <a:t>Quilter Investment Platform Limited and Quilter Life &amp; Pensions Limited are registered in England and Wales under numbers 1680071 and 4163431 respectively. </a:t>
          </a:r>
        </a:p>
        <a:p>
          <a:r>
            <a:rPr lang="en-GB" sz="1100">
              <a:latin typeface="Open Sans" panose="020B0606030504020204" pitchFamily="34" charset="0"/>
              <a:ea typeface="Open Sans" panose="020B0606030504020204" pitchFamily="34" charset="0"/>
              <a:cs typeface="Open Sans" panose="020B0606030504020204" pitchFamily="34" charset="0"/>
            </a:rPr>
            <a:t>Registered Office at Senator House, 85 Queen Victoria Street, London, EC4V 4AB, United Kingdom. </a:t>
          </a:r>
        </a:p>
        <a:p>
          <a:endParaRPr lang="en-GB" sz="1100">
            <a:latin typeface="Open Sans" panose="020B0606030504020204" pitchFamily="34" charset="0"/>
            <a:ea typeface="Open Sans" panose="020B0606030504020204" pitchFamily="34" charset="0"/>
            <a:cs typeface="Open Sans" panose="020B0606030504020204" pitchFamily="34" charset="0"/>
          </a:endParaRPr>
        </a:p>
        <a:p>
          <a:r>
            <a:rPr lang="en-GB" sz="1100">
              <a:latin typeface="Open Sans" panose="020B0606030504020204" pitchFamily="34" charset="0"/>
              <a:ea typeface="Open Sans" panose="020B0606030504020204" pitchFamily="34" charset="0"/>
              <a:cs typeface="Open Sans" panose="020B0606030504020204" pitchFamily="34" charset="0"/>
            </a:rPr>
            <a:t>Quilter Investment Platform Limited is authorised and regulated by the Financial Conduct Authority. Quilter Life &amp; Pensions Limited is authorised by the Prudential Regulation Authority and regulated by the Financial Conduct Authority and the Prudential Regulation Authority. Their Financial Services register numbers are 165359 and 207977 respectively. VAT number 386 1301 59.</a:t>
          </a:r>
        </a:p>
        <a:p>
          <a:endParaRPr lang="en-GB" sz="1100">
            <a:latin typeface="Open Sans" panose="020B0606030504020204" pitchFamily="34" charset="0"/>
            <a:ea typeface="Open Sans" panose="020B0606030504020204" pitchFamily="34" charset="0"/>
            <a:cs typeface="Open Sans" panose="020B0606030504020204" pitchFamily="34" charset="0"/>
          </a:endParaRPr>
        </a:p>
        <a:p>
          <a:endParaRPr lang="en-GB" sz="1100"/>
        </a:p>
      </xdr:txBody>
    </xdr:sp>
    <xdr:clientData/>
  </xdr:twoCellAnchor>
  <xdr:twoCellAnchor editAs="oneCell">
    <xdr:from>
      <xdr:col>1</xdr:col>
      <xdr:colOff>132976</xdr:colOff>
      <xdr:row>40</xdr:row>
      <xdr:rowOff>129240</xdr:rowOff>
    </xdr:from>
    <xdr:to>
      <xdr:col>1</xdr:col>
      <xdr:colOff>971249</xdr:colOff>
      <xdr:row>41</xdr:row>
      <xdr:rowOff>180806</xdr:rowOff>
    </xdr:to>
    <xdr:pic>
      <xdr:nvPicPr>
        <xdr:cNvPr id="5" name="Picture 4">
          <a:extLst>
            <a:ext uri="{FF2B5EF4-FFF2-40B4-BE49-F238E27FC236}">
              <a16:creationId xmlns:a16="http://schemas.microsoft.com/office/drawing/2014/main" id="{2C9E506F-6DE4-49D9-5A37-3B8C3DD5E76D}"/>
            </a:ext>
          </a:extLst>
        </xdr:cNvPr>
        <xdr:cNvPicPr>
          <a:picLocks noChangeAspect="1"/>
        </xdr:cNvPicPr>
      </xdr:nvPicPr>
      <xdr:blipFill>
        <a:blip xmlns:r="http://schemas.openxmlformats.org/officeDocument/2006/relationships" r:embed="rId3"/>
        <a:stretch>
          <a:fillRect/>
        </a:stretch>
      </xdr:blipFill>
      <xdr:spPr>
        <a:xfrm>
          <a:off x="276411" y="10824134"/>
          <a:ext cx="838273" cy="358171"/>
        </a:xfrm>
        <a:prstGeom prst="rect">
          <a:avLst/>
        </a:prstGeom>
      </xdr:spPr>
    </xdr:pic>
    <xdr:clientData/>
  </xdr:twoCellAnchor>
  <xdr:twoCellAnchor editAs="absolute">
    <xdr:from>
      <xdr:col>5</xdr:col>
      <xdr:colOff>1098278</xdr:colOff>
      <xdr:row>16</xdr:row>
      <xdr:rowOff>200206</xdr:rowOff>
    </xdr:from>
    <xdr:to>
      <xdr:col>14</xdr:col>
      <xdr:colOff>54610</xdr:colOff>
      <xdr:row>25</xdr:row>
      <xdr:rowOff>27940</xdr:rowOff>
    </xdr:to>
    <xdr:sp macro="" textlink="">
      <xdr:nvSpPr>
        <xdr:cNvPr id="6" name="Rectangle 5">
          <a:extLst>
            <a:ext uri="{FF2B5EF4-FFF2-40B4-BE49-F238E27FC236}">
              <a16:creationId xmlns:a16="http://schemas.microsoft.com/office/drawing/2014/main" id="{BDF8464B-7614-49B9-88C6-77A2325852FF}"/>
            </a:ext>
          </a:extLst>
        </xdr:cNvPr>
        <xdr:cNvSpPr/>
      </xdr:nvSpPr>
      <xdr:spPr>
        <a:xfrm>
          <a:off x="9492343" y="4540431"/>
          <a:ext cx="9319532" cy="2769054"/>
        </a:xfrm>
        <a:prstGeom prst="rect">
          <a:avLst/>
        </a:prstGeom>
        <a:noFill/>
      </xdr:spPr>
      <xdr:txBody>
        <a:bodyPr wrap="square" lIns="91440" tIns="45720" rIns="91440" bIns="45720">
          <a:noAutofit/>
          <a:scene3d>
            <a:camera prst="orthographicFront"/>
            <a:lightRig rig="harsh" dir="t"/>
          </a:scene3d>
          <a:sp3d extrusionH="57150" prstMaterial="matte">
            <a:bevelT w="63500" h="12700" prst="angle"/>
            <a:contourClr>
              <a:schemeClr val="bg1">
                <a:lumMod val="65000"/>
              </a:schemeClr>
            </a:contourClr>
          </a:sp3d>
        </a:bodyPr>
        <a:lstStyle/>
        <a:p>
          <a:pPr algn="ctr"/>
          <a:r>
            <a:rPr lang="en-GB" sz="9600" b="1" cap="none" spc="0">
              <a:ln/>
              <a:solidFill>
                <a:srgbClr val="0F7B3F">
                  <a:alpha val="6000"/>
                </a:srgbClr>
              </a:solidFill>
              <a:effectLst/>
              <a:latin typeface="Sabon Next LT" panose="02000500000000000000" pitchFamily="2" charset="0"/>
              <a:ea typeface="Open Sans" panose="020B0606030504020204" pitchFamily="34" charset="0"/>
              <a:cs typeface="Sabon Next LT" panose="02000500000000000000" pitchFamily="2" charset="0"/>
            </a:rPr>
            <a:t>Quilter</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tax.service.gov.uk/estimate-paye-take-home-pay/your-results?csrfToken=8eb8aa79808c82e7cf584b5076032773a210067a-1755623604730-9d33753a017217ea28c02353" TargetMode="External"/><Relationship Id="rId1" Type="http://schemas.openxmlformats.org/officeDocument/2006/relationships/hyperlink" Target="https://taxscouts.com/calculator/income-tax/"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ons.gov.uk/peoplepopulationandcommunity/birthsdeathsandmarriages/lifeexpectancies/datasets/nationallifetablesunitedkingdomreferencetab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8D272-E5BA-40E9-A526-2850AD50D23B}">
  <dimension ref="A1:Y41"/>
  <sheetViews>
    <sheetView showGridLines="0" showRowColHeaders="0" tabSelected="1" topLeftCell="A4" workbookViewId="0">
      <selection activeCell="U38" sqref="U38"/>
      <extLst>
        <ext xmlns:xlsdti="http://schemas.microsoft.com/office/spreadsheetml/2023/showDataTypeIcons" uri="{77bfe23e-c014-4d31-8a63-9c772dbf06b6}">
          <xlsdti:showDataTypeIcons visible="0"/>
        </ext>
      </extLst>
    </sheetView>
  </sheetViews>
  <sheetFormatPr defaultColWidth="0" defaultRowHeight="14.4" zeroHeight="1" x14ac:dyDescent="0.3"/>
  <cols>
    <col min="1" max="1" width="4" customWidth="1"/>
    <col min="2" max="17" width="7.21875" customWidth="1"/>
    <col min="18" max="20" width="8.88671875" hidden="1" customWidth="1"/>
    <col min="21" max="21" width="24.6640625" customWidth="1"/>
    <col min="22" max="25" width="8.88671875" customWidth="1"/>
    <col min="26" max="16384" width="8.88671875" hidden="1"/>
  </cols>
  <sheetData>
    <row r="1" customFormat="1" x14ac:dyDescent="0.3"/>
    <row r="2" customFormat="1" x14ac:dyDescent="0.3"/>
    <row r="3" customFormat="1" x14ac:dyDescent="0.3"/>
    <row r="4" customFormat="1" x14ac:dyDescent="0.3"/>
    <row r="5" customFormat="1" x14ac:dyDescent="0.3"/>
    <row r="6" customFormat="1" x14ac:dyDescent="0.3"/>
    <row r="7" customFormat="1" x14ac:dyDescent="0.3"/>
    <row r="8" customFormat="1" x14ac:dyDescent="0.3"/>
    <row r="9" customFormat="1" x14ac:dyDescent="0.3"/>
    <row r="10" customFormat="1" x14ac:dyDescent="0.3"/>
    <row r="11" customFormat="1" x14ac:dyDescent="0.3"/>
    <row r="12" customFormat="1" x14ac:dyDescent="0.3"/>
    <row r="13" customFormat="1" x14ac:dyDescent="0.3"/>
    <row r="14" customFormat="1" x14ac:dyDescent="0.3"/>
    <row r="15" customFormat="1" x14ac:dyDescent="0.3"/>
    <row r="16" customFormat="1" x14ac:dyDescent="0.3"/>
    <row r="17" customFormat="1" x14ac:dyDescent="0.3"/>
    <row r="18" customFormat="1" x14ac:dyDescent="0.3"/>
    <row r="19" customFormat="1" x14ac:dyDescent="0.3"/>
    <row r="20" customFormat="1" x14ac:dyDescent="0.3"/>
    <row r="21" customFormat="1" x14ac:dyDescent="0.3"/>
    <row r="22" customFormat="1" x14ac:dyDescent="0.3"/>
    <row r="23" customFormat="1" x14ac:dyDescent="0.3"/>
    <row r="24" customFormat="1" x14ac:dyDescent="0.3"/>
    <row r="25" customFormat="1" x14ac:dyDescent="0.3"/>
    <row r="26" customFormat="1" x14ac:dyDescent="0.3"/>
    <row r="27" customFormat="1" x14ac:dyDescent="0.3"/>
    <row r="28" customFormat="1" x14ac:dyDescent="0.3"/>
    <row r="29" customFormat="1" x14ac:dyDescent="0.3"/>
    <row r="30" customFormat="1" x14ac:dyDescent="0.3"/>
    <row r="31" customFormat="1" x14ac:dyDescent="0.3"/>
    <row r="32" customFormat="1" x14ac:dyDescent="0.3"/>
    <row r="33" spans="21:21" x14ac:dyDescent="0.3"/>
    <row r="34" spans="21:21" x14ac:dyDescent="0.3"/>
    <row r="35" spans="21:21" x14ac:dyDescent="0.3"/>
    <row r="36" spans="21:21" x14ac:dyDescent="0.3"/>
    <row r="37" spans="21:21" ht="76.8" customHeight="1" x14ac:dyDescent="0.3"/>
    <row r="38" spans="21:21" ht="57.6" customHeight="1" x14ac:dyDescent="0.3">
      <c r="U38" s="246" t="s">
        <v>198</v>
      </c>
    </row>
    <row r="39" spans="21:21" x14ac:dyDescent="0.3"/>
    <row r="40" spans="21:21" x14ac:dyDescent="0.3"/>
    <row r="41" spans="21:21" x14ac:dyDescent="0.3"/>
  </sheetData>
  <sheetProtection algorithmName="SHA-512" hashValue="3EcJ8s+oK5QwT2J32Yd6FKUsL/ct0jpl8Vg4uBd5eO/MRVs1gccJKbGPMY7SZ+PMV1IQwPjITbTj/DyKqXDT8w==" saltValue="jRF3WgJbfY3hDPDFCOosyA==" spinCount="100000" sheet="1" objects="1" scenarios="1"/>
  <hyperlinks>
    <hyperlink ref="U38" location="REF" display="I have read and understood" xr:uid="{EB18874B-A07B-4497-8261-4D8C6108BBCA}"/>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956AB-5B07-45D7-BD6C-83FF2BF6FC2E}">
  <sheetPr codeName="Sheet4"/>
  <dimension ref="A1:AC73"/>
  <sheetViews>
    <sheetView showGridLines="0" showRowColHeaders="0" topLeftCell="A18" zoomScaleNormal="100" workbookViewId="0">
      <selection activeCell="I34" sqref="I34"/>
      <extLst>
        <ext xmlns:xlsdti="http://schemas.microsoft.com/office/spreadsheetml/2023/showDataTypeIcons" uri="{77bfe23e-c014-4d31-8a63-9c772dbf06b6}">
          <xlsdti:showDataTypeIcons visible="0"/>
        </ext>
      </extLst>
    </sheetView>
  </sheetViews>
  <sheetFormatPr defaultColWidth="0" defaultRowHeight="24" customHeight="1" x14ac:dyDescent="0.35"/>
  <cols>
    <col min="1" max="1" width="2.109375" style="3" customWidth="1"/>
    <col min="2" max="2" width="41.88671875" style="2" customWidth="1"/>
    <col min="3" max="3" width="28.88671875" style="3" customWidth="1"/>
    <col min="4" max="4" width="3" style="3" customWidth="1"/>
    <col min="5" max="5" width="46.5546875" style="3" customWidth="1"/>
    <col min="6" max="6" width="21.88671875" style="3" customWidth="1"/>
    <col min="7" max="7" width="19.5546875" style="3" customWidth="1"/>
    <col min="8" max="8" width="2.33203125" style="3" customWidth="1"/>
    <col min="9" max="9" width="41.109375" style="3" customWidth="1"/>
    <col min="10" max="10" width="16.33203125" style="3" customWidth="1"/>
    <col min="11" max="11" width="16.88671875" style="3" customWidth="1"/>
    <col min="12" max="12" width="1.44140625" style="3" customWidth="1"/>
    <col min="13" max="13" width="15.109375" style="3" customWidth="1"/>
    <col min="14" max="14" width="16.44140625" style="3" customWidth="1"/>
    <col min="15" max="15" width="2.33203125" style="3" customWidth="1"/>
    <col min="16" max="17" width="9.109375" style="3" hidden="1" customWidth="1"/>
    <col min="18" max="18" width="23.88671875" style="3" hidden="1" customWidth="1"/>
    <col min="19" max="21" width="9.109375" style="3" hidden="1" customWidth="1"/>
    <col min="22" max="22" width="8.88671875" style="3" hidden="1" customWidth="1"/>
    <col min="23" max="23" width="9.109375" style="3" hidden="1" customWidth="1"/>
    <col min="24" max="29" width="8.88671875" style="5" hidden="1" customWidth="1"/>
    <col min="30" max="16384" width="9.109375" style="3" hidden="1"/>
  </cols>
  <sheetData>
    <row r="1" spans="2:14" ht="24" customHeight="1" x14ac:dyDescent="0.35">
      <c r="C1" s="4"/>
      <c r="F1" s="2"/>
      <c r="G1" s="4"/>
      <c r="H1" s="2"/>
      <c r="I1" s="2"/>
      <c r="J1" s="2"/>
      <c r="K1" s="2"/>
      <c r="L1" s="2"/>
      <c r="M1" s="4" t="s">
        <v>199</v>
      </c>
      <c r="N1" s="4"/>
    </row>
    <row r="2" spans="2:14" ht="12.6" customHeight="1" x14ac:dyDescent="0.35"/>
    <row r="3" spans="2:14" ht="24" customHeight="1" x14ac:dyDescent="0.35">
      <c r="N3" s="4"/>
    </row>
    <row r="4" spans="2:14" ht="28.2" customHeight="1" x14ac:dyDescent="0.75">
      <c r="E4" s="6" t="s">
        <v>201</v>
      </c>
      <c r="M4" s="245" t="s">
        <v>202</v>
      </c>
      <c r="N4" s="245"/>
    </row>
    <row r="5" spans="2:14" ht="9.6" customHeight="1" x14ac:dyDescent="0.35"/>
    <row r="6" spans="2:14" ht="8.4" customHeight="1" x14ac:dyDescent="0.35">
      <c r="B6" s="7"/>
      <c r="C6" s="7"/>
      <c r="E6" s="7"/>
      <c r="F6" s="7"/>
      <c r="G6" s="8"/>
      <c r="H6" s="8"/>
      <c r="K6" s="9" t="s">
        <v>0</v>
      </c>
      <c r="L6" s="9"/>
    </row>
    <row r="7" spans="2:14" ht="8.4" customHeight="1" x14ac:dyDescent="0.35">
      <c r="F7" s="8"/>
    </row>
    <row r="8" spans="2:14" ht="24" customHeight="1" x14ac:dyDescent="0.35">
      <c r="B8" s="265" t="s">
        <v>1</v>
      </c>
      <c r="C8" s="265"/>
      <c r="D8" s="10"/>
      <c r="E8" s="257" t="s">
        <v>2</v>
      </c>
      <c r="F8" s="258"/>
      <c r="I8" s="247" t="s">
        <v>3</v>
      </c>
      <c r="J8" s="248"/>
      <c r="K8" s="248"/>
      <c r="L8" s="248"/>
      <c r="M8" s="249"/>
    </row>
    <row r="9" spans="2:14" ht="12.6" customHeight="1" x14ac:dyDescent="0.35">
      <c r="B9" s="265"/>
      <c r="C9" s="265"/>
      <c r="D9" s="10"/>
      <c r="E9" s="259"/>
      <c r="F9" s="260"/>
      <c r="I9" s="250"/>
      <c r="J9" s="251"/>
      <c r="K9" s="251"/>
      <c r="L9" s="251"/>
      <c r="M9" s="252"/>
    </row>
    <row r="10" spans="2:14" ht="7.95" customHeight="1" x14ac:dyDescent="0.35">
      <c r="B10" s="272" t="s">
        <v>4</v>
      </c>
      <c r="C10" s="273"/>
      <c r="D10" s="10"/>
      <c r="E10" s="261" t="str">
        <f>IF(ProjTerm&lt;7,"Trusts proceeds not fully out of estate until 7 yrs, please increase preferred term","")</f>
        <v/>
      </c>
      <c r="F10" s="262"/>
    </row>
    <row r="11" spans="2:14" ht="31.95" customHeight="1" x14ac:dyDescent="0.35">
      <c r="B11" s="274"/>
      <c r="C11" s="275"/>
      <c r="D11" s="10"/>
      <c r="E11" s="263"/>
      <c r="F11" s="264"/>
      <c r="J11" s="282" t="str">
        <f>"Leave PCLS in pension"&amp;IF(OR(L1WD&gt;0,AND(L2WD&gt;0,SingJt="J"))," &amp; take pension withdrawals","")</f>
        <v>Leave PCLS in pension</v>
      </c>
      <c r="K11" s="284" t="str">
        <f>"Move PCLS into trust"&amp;IF(OR(L1WD&gt;0,AND(L2WD&gt;0,SingJt="J"))," &amp; take pension withdrawals","")</f>
        <v>Move PCLS into trust</v>
      </c>
      <c r="L11" s="11"/>
    </row>
    <row r="12" spans="2:14" ht="30" customHeight="1" x14ac:dyDescent="0.4">
      <c r="B12" s="12" t="s">
        <v>196</v>
      </c>
      <c r="C12" s="13"/>
      <c r="D12" s="10"/>
      <c r="E12" s="276" t="s">
        <v>200</v>
      </c>
      <c r="F12" s="277"/>
      <c r="I12" s="14" t="str">
        <f ca="1">"Scenario in "&amp;(YEAR+Tax!J10)</f>
        <v>Scenario in 2049</v>
      </c>
      <c r="J12" s="283"/>
      <c r="K12" s="285"/>
      <c r="L12" s="15"/>
      <c r="M12" s="16"/>
      <c r="N12" s="16"/>
    </row>
    <row r="13" spans="2:14" ht="30" customHeight="1" x14ac:dyDescent="0.4">
      <c r="B13" s="17" t="s">
        <v>5</v>
      </c>
      <c r="C13" s="18" t="s">
        <v>6</v>
      </c>
      <c r="D13" s="10"/>
      <c r="E13" s="278" t="s">
        <v>7</v>
      </c>
      <c r="F13" s="279"/>
      <c r="I13" s="19" t="str">
        <f ca="1">"House value "&amp;(YEAR+Tax!J10)</f>
        <v>House value 2049</v>
      </c>
      <c r="J13" s="20">
        <f>HouseVal*(1+Housegrowth)^ProjTerm</f>
        <v>0</v>
      </c>
      <c r="K13" s="20">
        <f>HouseVal*(1+Housegrowth)^ProjTerm</f>
        <v>0</v>
      </c>
      <c r="L13" s="21"/>
      <c r="M13" s="22"/>
      <c r="N13" s="16"/>
    </row>
    <row r="14" spans="2:14" ht="30" customHeight="1" x14ac:dyDescent="0.4">
      <c r="B14" s="12" t="s">
        <v>8</v>
      </c>
      <c r="C14" s="13">
        <v>60</v>
      </c>
      <c r="D14" s="10"/>
      <c r="E14" s="23"/>
      <c r="F14" s="24" t="s">
        <v>9</v>
      </c>
      <c r="I14" s="25" t="str">
        <f ca="1">"Cash "&amp;(YEAR+Tax!J10)</f>
        <v>Cash 2049</v>
      </c>
      <c r="J14" s="20">
        <f>CashVal*(1+Cashgrowth)^ProjTerm</f>
        <v>0</v>
      </c>
      <c r="K14" s="20">
        <f>CashVal*(1+Cashgrowth)^ProjTerm</f>
        <v>0</v>
      </c>
      <c r="L14" s="21"/>
      <c r="M14" s="22"/>
      <c r="N14" s="16"/>
    </row>
    <row r="15" spans="2:14" ht="30" customHeight="1" x14ac:dyDescent="0.4">
      <c r="B15" s="12" t="s">
        <v>10</v>
      </c>
      <c r="C15" s="26" t="s">
        <v>11</v>
      </c>
      <c r="E15" s="27" t="s">
        <v>12</v>
      </c>
      <c r="F15" s="28">
        <v>0</v>
      </c>
      <c r="I15" s="25" t="str">
        <f ca="1">"ISAs "&amp;(YEAR+Tax!J10)</f>
        <v>ISAs 2049</v>
      </c>
      <c r="J15" s="20">
        <f>ISAval*(1+GrsGrth)^ProjTerm</f>
        <v>0</v>
      </c>
      <c r="K15" s="20">
        <f>ISAval*(1+GrsGrth)^ProjTerm</f>
        <v>0</v>
      </c>
      <c r="L15" s="21"/>
      <c r="M15" s="22"/>
      <c r="N15" s="16"/>
    </row>
    <row r="16" spans="2:14" ht="30" customHeight="1" x14ac:dyDescent="0.4">
      <c r="B16" s="12" t="str">
        <f>IF(SingJt="J","Life 2 current age","")</f>
        <v/>
      </c>
      <c r="C16" s="18">
        <v>60</v>
      </c>
      <c r="E16" s="27" t="str">
        <f>IF(SingJt="J","Life 2 remaining available PCLS","")</f>
        <v/>
      </c>
      <c r="F16" s="28">
        <v>0</v>
      </c>
      <c r="I16" s="243" t="str">
        <f ca="1">"Collectives / Investments not in trust / Other assets "&amp;(YEAR+Tax!J10)</f>
        <v>Collectives / Investments not in trust / Other assets 2049</v>
      </c>
      <c r="J16" s="20">
        <f>CIAVal*(1+NetGrth)^ProjTerm+OtherVal*(1+NetGrth)^ProjTerm</f>
        <v>0</v>
      </c>
      <c r="K16" s="20">
        <f>CIAVal*(1+NetGrth)^ProjTerm+OtherVal*(1+NetGrth)^ProjTerm</f>
        <v>0</v>
      </c>
      <c r="L16" s="21"/>
      <c r="M16" s="29"/>
      <c r="N16" s="16"/>
    </row>
    <row r="17" spans="2:14" ht="30" customHeight="1" x14ac:dyDescent="0.35">
      <c r="B17" s="12" t="str">
        <f>IF(SingJt="J","Life 2 gender (M/F)","")</f>
        <v/>
      </c>
      <c r="C17" s="26" t="s">
        <v>138</v>
      </c>
      <c r="E17" s="30"/>
      <c r="F17" s="31"/>
      <c r="I17" s="25" t="str">
        <f ca="1">"Life 1 total DC pension "&amp;(YEAR+Tax!J10)</f>
        <v>Life 1 total DC pension 2049</v>
      </c>
      <c r="J17" s="32" cm="1">
        <f t="array" ref="J17">MAX(L1PenVal*(1+GrsGrth)^ProjTerm-IF(ProjTerm&lt;=L1Delay,0,IF(GrsGrth=L1INCP,L1WD*(1+GrsGrth)^(ProjTerm-L1Delay)* (ProjTerm-L1Delay),L1WD*(1+GrsGrth)^(ProjTerm-L1Delay+1) * (1-((1+L1INCP)/(1+GrsGrth))^(ProjTerm-L1Delay)) / (GrsGrth - L1INCP))),0)</f>
        <v>0</v>
      </c>
      <c r="K17" s="20" cm="1">
        <f t="array" ref="K17">MAX( (L1PenVal-L1PCLS)*(1+GrsGrth)^ProjTerm-IF(ProjTerm&lt;=L1Delay,0,IF(GrsGrth=L1INCP,L1WD*(1+GrsGrth)^(ProjTerm-L1Delay)* (ProjTerm-L1Delay),L1WD*(1+GrsGrth)^(ProjTerm-L1Delay+1) * (1-((1+L1INCP)/(1+GrsGrth))^(ProjTerm-L1Delay)) / (GrsGrth - L1INCP))),0)</f>
        <v>0</v>
      </c>
      <c r="L17" s="21"/>
      <c r="M17" s="290" t="str">
        <f>IF(AND(L1PenVal&lt;&gt;0,OR(J17=0,K17=0)),"UNSUSTAINABLE: PLEASE LOWER LIFE1 WITHDRAWALS","")</f>
        <v/>
      </c>
      <c r="N17" s="290"/>
    </row>
    <row r="18" spans="2:14" ht="30" customHeight="1" x14ac:dyDescent="0.35">
      <c r="B18" s="17" t="str">
        <f>"Approx life expectancy in yrs "&amp;IF(SingJt="J","(last death)","") &amp; " *NB you can change this below*"</f>
        <v>Approx life expectancy in yrs  *NB you can change this below*</v>
      </c>
      <c r="C18" s="33">
        <f>IF(SingJt="J",ONS!$L$5,ONS!$D$5)</f>
        <v>24</v>
      </c>
      <c r="E18" s="276" t="s">
        <v>13</v>
      </c>
      <c r="F18" s="277"/>
      <c r="I18" s="34" t="str">
        <f>IF(SingJt&lt;&gt;"J","","Life 2 total DC pension "&amp;(2025+ProjTerm))</f>
        <v/>
      </c>
      <c r="J18" s="35" cm="1">
        <f t="array" ref="J18">IF(SingJt="J",MAX(L2PenVal*(1+GrsGrth)^ProjTerm-IF(ProjTerm&lt;=L2Delay,0,IF(GrsGrth=L2INCP,L2WD*(1+GrsGrth)^(ProjTerm-L2Delay)* (ProjTerm-L2Delay),L2WD*(1+GrsGrth)^(ProjTerm-L2Delay+1) * (1-((1+L2INCP)/(1+GrsGrth))^(ProjTerm-L2Delay)) / (GrsGrth - L2INCP))),0),0)</f>
        <v>0</v>
      </c>
      <c r="K18" s="35" t="b" cm="1">
        <f t="array" ref="K18">IF(SingJt="J",MAX((L2PenVal-L2PCLS)*(1+GrsGrth)^ProjTerm-IF(ProjTerm&lt;=L2Delay,0,IF(GrsGrth=L2INCP,L2WD*(1+GrsGrth)^(ProjTerm-L2Delay)* (ProjTerm-L2Delay),L2WD*(1+GrsGrth)^(ProjTerm-L2Delay+1) * (1-((1+L2INCP)/(1+GrsGrth))^(ProjTerm-L2Delay)) / (GrsGrth - L2INCP))),0))</f>
        <v>0</v>
      </c>
      <c r="L18" s="36"/>
      <c r="M18" s="290" t="str">
        <f>IF(SingJt="J",IF(OR($J$18=0,$K$18=0),IF(L2PenVal=0,"","UNSUSTAINABLE: PLEASE LOWER LIFE2 WITHDRAWALS"),""),"")</f>
        <v/>
      </c>
      <c r="N18" s="290"/>
    </row>
    <row r="19" spans="2:14" ht="24" customHeight="1" x14ac:dyDescent="0.4">
      <c r="B19" s="12" t="str">
        <f ca="1">"House value ("&amp;YEAR&amp;")"</f>
        <v>House value (2025)</v>
      </c>
      <c r="C19" s="37"/>
      <c r="E19" s="278" t="s">
        <v>14</v>
      </c>
      <c r="F19" s="279"/>
      <c r="I19" s="38" t="str">
        <f>"Taxable estate value "&amp;(2025+Tax!J10)</f>
        <v>Taxable estate value 2049</v>
      </c>
      <c r="J19" s="39">
        <f>SUM(J13:J18)</f>
        <v>0</v>
      </c>
      <c r="K19" s="39">
        <f>SUM(K13:K18)</f>
        <v>0</v>
      </c>
      <c r="L19" s="21"/>
      <c r="M19" s="22"/>
      <c r="N19" s="40"/>
    </row>
    <row r="20" spans="2:14" ht="24" customHeight="1" x14ac:dyDescent="0.4">
      <c r="B20" s="12" t="str">
        <f ca="1">"Cash ("&amp;YEAR&amp;")"</f>
        <v>Cash (2025)</v>
      </c>
      <c r="C20" s="37">
        <v>0</v>
      </c>
      <c r="E20" s="27"/>
      <c r="F20" s="24" t="s">
        <v>15</v>
      </c>
      <c r="I20" s="41" t="s">
        <v>16</v>
      </c>
      <c r="J20" s="42">
        <f ca="1">Tax!K4</f>
        <v>569889.46725005761</v>
      </c>
      <c r="K20" s="42">
        <f ca="1">J20</f>
        <v>569889.46725005761</v>
      </c>
      <c r="L20" s="43"/>
      <c r="M20" s="22"/>
      <c r="N20" s="16"/>
    </row>
    <row r="21" spans="2:14" ht="24" customHeight="1" x14ac:dyDescent="0.4">
      <c r="B21" s="12" t="str">
        <f ca="1">"ISAs ("&amp;YEAR&amp;")"</f>
        <v>ISAs (2025)</v>
      </c>
      <c r="C21" s="37">
        <v>0</v>
      </c>
      <c r="E21" s="27" t="s">
        <v>17</v>
      </c>
      <c r="F21" s="28">
        <v>0</v>
      </c>
      <c r="I21" s="44" t="s">
        <v>18</v>
      </c>
      <c r="J21" s="42">
        <f ca="1">MIN(MAX((J19-Tax!K7),0)/2,Tax!K6)</f>
        <v>0</v>
      </c>
      <c r="K21" s="42">
        <f ca="1">MIN(MAX((K19-Tax!K7),0)/2,Tax!K6)</f>
        <v>0</v>
      </c>
      <c r="L21" s="43"/>
      <c r="M21" s="22"/>
      <c r="N21" s="16"/>
    </row>
    <row r="22" spans="2:14" ht="24" customHeight="1" x14ac:dyDescent="0.35">
      <c r="B22" s="242" t="str">
        <f ca="1">"Collectives &amp; Investments not in trust ("&amp;YEAR&amp;")"</f>
        <v>Collectives &amp; Investments not in trust (2025)</v>
      </c>
      <c r="C22" s="37">
        <v>0</v>
      </c>
      <c r="E22" s="27" t="str">
        <f>"Starting in year (0 = immediately)"</f>
        <v>Starting in year (0 = immediately)</v>
      </c>
      <c r="F22" s="45">
        <v>0</v>
      </c>
      <c r="I22" s="46" t="s">
        <v>19</v>
      </c>
      <c r="J22" s="42">
        <f ca="1">Tax!K6-J21</f>
        <v>306863.55928849254</v>
      </c>
      <c r="K22" s="47">
        <f ca="1">Tax!K6-K21</f>
        <v>306863.55928849254</v>
      </c>
      <c r="L22" s="48"/>
      <c r="M22" s="288" t="s">
        <v>20</v>
      </c>
      <c r="N22" s="289"/>
    </row>
    <row r="23" spans="2:14" ht="24" customHeight="1" x14ac:dyDescent="0.4">
      <c r="B23" s="242" t="str">
        <f ca="1">"Assets already in trust ("&amp;YEAR&amp;")"</f>
        <v>Assets already in trust (2025)</v>
      </c>
      <c r="C23" s="37">
        <v>0</v>
      </c>
      <c r="E23" s="27" t="s">
        <v>21</v>
      </c>
      <c r="F23" s="49">
        <v>0</v>
      </c>
      <c r="I23" s="38" t="s">
        <v>22</v>
      </c>
      <c r="J23" s="39">
        <f ca="1">MAX(J19-SUM(J20+J22),0)</f>
        <v>0</v>
      </c>
      <c r="K23" s="39">
        <f ca="1">MAX(K19-SUM(K20+K22),0)</f>
        <v>0</v>
      </c>
      <c r="L23" s="21"/>
      <c r="M23" s="50"/>
      <c r="N23" s="16"/>
    </row>
    <row r="24" spans="2:14" ht="24" customHeight="1" x14ac:dyDescent="0.4">
      <c r="B24" s="12" t="s">
        <v>23</v>
      </c>
      <c r="C24" s="37">
        <v>0</v>
      </c>
      <c r="E24" s="27" t="str">
        <f>IF(SingJt&lt;&gt;"J","","Life 2 gross pension withdrawals p.a.")</f>
        <v/>
      </c>
      <c r="F24" s="28">
        <v>10000</v>
      </c>
      <c r="I24" s="25" t="s">
        <v>24</v>
      </c>
      <c r="J24" s="20">
        <f ca="1">MIN(-J23*Tax!J8,0)</f>
        <v>0</v>
      </c>
      <c r="K24" s="20">
        <f ca="1">MIN(-K23*Tax!J8,0)</f>
        <v>0</v>
      </c>
      <c r="L24" s="21"/>
      <c r="N24" s="16"/>
    </row>
    <row r="25" spans="2:14" ht="27.6" customHeight="1" x14ac:dyDescent="0.35">
      <c r="B25" s="12" t="str">
        <f ca="1">"Life 1 total DC pension ("&amp;YEAR&amp;")"</f>
        <v>Life 1 total DC pension (2025)</v>
      </c>
      <c r="C25" s="37">
        <v>0</v>
      </c>
      <c r="E25" s="27" t="str">
        <f>IF(SingJt&lt;&gt;"J","",$E$22)</f>
        <v/>
      </c>
      <c r="F25" s="45">
        <v>0</v>
      </c>
      <c r="I25" s="244" t="str">
        <f ca="1">"All assets within trust "&amp;(YEAR + Tax!J10) &amp;" (without/with additional PCLS money)"</f>
        <v>All assets within trust 2049 (without/with additional PCLS money)</v>
      </c>
      <c r="J25" s="51">
        <f>(CIBVal)*(1+NetGrth)^ProjTerm</f>
        <v>0</v>
      </c>
      <c r="K25" s="20">
        <f>(CIBVal+L1PCLS+IF(AND(SingJt="J",L2PenVal&gt;0),L2PCLS,0))*(1+NetGrth)^ProjTerm</f>
        <v>0</v>
      </c>
      <c r="L25" s="21"/>
      <c r="M25" s="287"/>
      <c r="N25" s="287"/>
    </row>
    <row r="26" spans="2:14" ht="24" customHeight="1" x14ac:dyDescent="0.35">
      <c r="B26" s="12" t="str">
        <f>IF(SingJt&lt;&gt;"J","","Life 2 total DC pension ("&amp;YEAR&amp;")")</f>
        <v/>
      </c>
      <c r="C26" s="52">
        <v>0</v>
      </c>
      <c r="E26" s="27" t="str">
        <f>IF(SingJt&lt;&gt;"J","",$E$23)</f>
        <v/>
      </c>
      <c r="F26" s="53">
        <v>0</v>
      </c>
      <c r="I26" s="240" t="s">
        <v>193</v>
      </c>
      <c r="J26" s="54">
        <f ca="1">J19+J24+J25</f>
        <v>0</v>
      </c>
      <c r="K26" s="54">
        <f ca="1">K19+K24+K25</f>
        <v>0</v>
      </c>
      <c r="L26" s="55"/>
      <c r="M26" s="56" t="str">
        <f ca="1">IFERROR(ROUND((K26/J26-1)*100,0)&amp;"% higher","")</f>
        <v/>
      </c>
      <c r="N26" s="57">
        <f ca="1">K26-J26</f>
        <v>0</v>
      </c>
    </row>
    <row r="27" spans="2:14" ht="24" customHeight="1" x14ac:dyDescent="0.35">
      <c r="B27" s="291" t="s">
        <v>25</v>
      </c>
      <c r="C27" s="292"/>
      <c r="E27" s="280" t="s">
        <v>26</v>
      </c>
      <c r="F27" s="281"/>
      <c r="I27" s="58" t="str">
        <f>"In today's terms (rolling back CPI)"</f>
        <v>In today's terms (rolling back CPI)</v>
      </c>
      <c r="J27" s="59">
        <f ca="1">$J$26/((1+CPI)^ProjTerm)</f>
        <v>0</v>
      </c>
      <c r="K27" s="59">
        <f ca="1">$K$26/((1+CPI)^ProjTerm)</f>
        <v>0</v>
      </c>
      <c r="L27" s="60"/>
      <c r="M27" s="61" t="str">
        <f ca="1">IFERROR(ROUND((K27/J27-1)*100,0)&amp;"% higher","")</f>
        <v/>
      </c>
      <c r="N27" s="62">
        <f ca="1">$N$26/((1+CPI)^ProjTerm)</f>
        <v>0</v>
      </c>
    </row>
    <row r="28" spans="2:14" ht="24" customHeight="1" x14ac:dyDescent="0.35">
      <c r="B28" s="12" t="s">
        <v>27</v>
      </c>
      <c r="C28" s="13" t="s">
        <v>28</v>
      </c>
      <c r="E28" s="266" t="s">
        <v>29</v>
      </c>
      <c r="F28" s="267"/>
      <c r="G28" s="63"/>
      <c r="H28" s="63"/>
      <c r="I28" s="60"/>
      <c r="J28" s="64"/>
      <c r="K28" s="64"/>
      <c r="L28" s="64"/>
      <c r="M28" s="65"/>
      <c r="N28" s="66"/>
    </row>
    <row r="29" spans="2:14" ht="28.95" customHeight="1" x14ac:dyDescent="0.35">
      <c r="B29" s="12" t="str">
        <f>IF(OWrite="Y","Input new preferred term (yrs)","")</f>
        <v/>
      </c>
      <c r="C29" s="67">
        <v>20</v>
      </c>
      <c r="E29" s="268" t="s">
        <v>30</v>
      </c>
      <c r="F29" s="269"/>
      <c r="I29" s="286" t="s">
        <v>31</v>
      </c>
      <c r="J29" s="286"/>
      <c r="K29" s="286"/>
      <c r="L29" s="68"/>
    </row>
    <row r="30" spans="2:14" ht="25.2" customHeight="1" x14ac:dyDescent="0.35">
      <c r="B30" s="12" t="s">
        <v>32</v>
      </c>
      <c r="C30" s="69" t="s">
        <v>28</v>
      </c>
      <c r="E30" s="268" t="s">
        <v>33</v>
      </c>
      <c r="F30" s="269"/>
      <c r="I30" s="70" t="s">
        <v>34</v>
      </c>
      <c r="J30" s="71">
        <f>IFERROR((J17+J18)/J19,0)</f>
        <v>0</v>
      </c>
      <c r="K30" s="71">
        <f>IFERROR((K17+K18)/K19,0)</f>
        <v>0</v>
      </c>
      <c r="L30" s="72"/>
    </row>
    <row r="31" spans="2:14" ht="25.2" customHeight="1" x14ac:dyDescent="0.35">
      <c r="B31" s="12" t="s">
        <v>35</v>
      </c>
      <c r="C31" s="69" t="s">
        <v>36</v>
      </c>
      <c r="E31" s="268"/>
      <c r="F31" s="269"/>
      <c r="G31" s="73"/>
      <c r="H31" s="73"/>
      <c r="I31" s="70" t="s">
        <v>37</v>
      </c>
      <c r="J31" s="74">
        <f ca="1">IFERROR((J17+J18)/J19*J24,0)</f>
        <v>0</v>
      </c>
      <c r="K31" s="74">
        <f ca="1">IFERROR((K17+K18)/K19*K24,0)</f>
        <v>0</v>
      </c>
      <c r="L31" s="75"/>
    </row>
    <row r="32" spans="2:14" ht="25.2" customHeight="1" x14ac:dyDescent="0.35">
      <c r="B32" s="76" t="s">
        <v>203</v>
      </c>
      <c r="C32" s="77">
        <v>0.03</v>
      </c>
      <c r="E32" s="270"/>
      <c r="F32" s="271"/>
      <c r="G32" s="73"/>
      <c r="H32" s="73"/>
      <c r="I32" s="70" t="s">
        <v>38</v>
      </c>
      <c r="J32" s="74">
        <f ca="1">IFERROR((J17+J18)+J31,"")</f>
        <v>0</v>
      </c>
      <c r="K32" s="74">
        <f ca="1">IFERROR((K17+K18)+K31,"")</f>
        <v>0</v>
      </c>
      <c r="L32" s="75"/>
    </row>
    <row r="33" spans="2:14" ht="24" customHeight="1" x14ac:dyDescent="0.35">
      <c r="B33" s="76" t="s">
        <v>204</v>
      </c>
      <c r="C33" s="77">
        <v>3.5000000000000003E-2</v>
      </c>
      <c r="E33" s="73"/>
      <c r="F33" s="73"/>
      <c r="G33" s="73"/>
      <c r="H33" s="73"/>
      <c r="I33" s="70" t="s">
        <v>206</v>
      </c>
      <c r="J33" s="78">
        <f ca="1">IFERROR(IF(SCIT&lt;&gt;"Y",Tax!$E$10/Tax!$E$3,Tax!$E$29/Tax!$E$19),0)</f>
        <v>0</v>
      </c>
      <c r="K33" s="78">
        <f ca="1">IFERROR(IF(SCIT&lt;&gt;"Y",Tax!$F$10/Tax!$F$3,Tax!$F$29/Tax!$F$19),0)</f>
        <v>0</v>
      </c>
      <c r="L33" s="79"/>
      <c r="M33" s="253" t="s">
        <v>39</v>
      </c>
      <c r="N33" s="254"/>
    </row>
    <row r="34" spans="2:14" ht="24" customHeight="1" x14ac:dyDescent="0.35">
      <c r="B34" s="80" t="s">
        <v>205</v>
      </c>
      <c r="C34" s="77">
        <v>0.02</v>
      </c>
      <c r="E34" s="73"/>
      <c r="F34" s="81" t="str">
        <f ca="1">YEAR&amp;" bands"</f>
        <v>2025 bands</v>
      </c>
      <c r="G34" s="81" t="str">
        <f ca="1">(YEAR+ProjTerm)&amp;" bands"</f>
        <v>2049 bands</v>
      </c>
      <c r="H34" s="82"/>
      <c r="I34" s="70" t="s">
        <v>207</v>
      </c>
      <c r="J34" s="83">
        <f ca="1">IFERROR(-IF(SCIT&lt;&gt;"Y",Tax!$E$10,Tax!$E$29),"")</f>
        <v>0</v>
      </c>
      <c r="K34" s="83">
        <f ca="1">IFERROR(-IF(SCIT&lt;&gt;"Y",Tax!$F$10,Tax!$F$29),0)</f>
        <v>0</v>
      </c>
      <c r="L34" s="84"/>
      <c r="M34" s="255"/>
      <c r="N34" s="256"/>
    </row>
    <row r="35" spans="2:14" ht="24" customHeight="1" x14ac:dyDescent="0.4">
      <c r="B35" s="80" t="s">
        <v>40</v>
      </c>
      <c r="C35" s="77">
        <v>0.06</v>
      </c>
      <c r="D35" s="85"/>
      <c r="E35" s="86" t="s">
        <v>16</v>
      </c>
      <c r="F35" s="87">
        <f>Tax!J4</f>
        <v>325000</v>
      </c>
      <c r="G35" s="88">
        <f ca="1">Tax!K4</f>
        <v>569889.46725005761</v>
      </c>
      <c r="H35" s="89"/>
      <c r="I35" s="90" t="s">
        <v>41</v>
      </c>
      <c r="J35" s="91">
        <f ca="1">IFERROR(J26+J34,"")</f>
        <v>0</v>
      </c>
      <c r="K35" s="91">
        <f ca="1">K26+K34</f>
        <v>0</v>
      </c>
      <c r="L35" s="55"/>
      <c r="M35" s="92" t="str">
        <f ca="1">IFERROR(ROUND((K35/J35-1)*100,0)&amp;"% higher","")</f>
        <v/>
      </c>
      <c r="N35" s="93">
        <f ca="1">K35-J35</f>
        <v>0</v>
      </c>
    </row>
    <row r="36" spans="2:14" ht="24" customHeight="1" x14ac:dyDescent="0.35">
      <c r="B36" s="80" t="s">
        <v>197</v>
      </c>
      <c r="C36" s="1">
        <f>GrsGrth-1%</f>
        <v>4.9999999999999996E-2</v>
      </c>
      <c r="E36" s="94" t="s">
        <v>42</v>
      </c>
      <c r="F36" s="95">
        <f>Tax!J5</f>
        <v>175000</v>
      </c>
      <c r="G36" s="95">
        <f ca="1">Tax!K5</f>
        <v>306863.55928849254</v>
      </c>
      <c r="H36" s="96"/>
      <c r="I36" s="59" t="str">
        <f>"In today's terms (rolling back CPI)"</f>
        <v>In today's terms (rolling back CPI)</v>
      </c>
      <c r="J36" s="97">
        <f ca="1">IFERROR($J$35/((1+CPI)^ProjTerm),"")</f>
        <v>0</v>
      </c>
      <c r="K36" s="97">
        <f ca="1">$K$35/((1+CPI)^ProjTerm)</f>
        <v>0</v>
      </c>
      <c r="L36" s="64"/>
      <c r="M36" s="61" t="str">
        <f ca="1">IFERROR(ROUND((K36/J36-1)*100,0)&amp;"% higher","")</f>
        <v/>
      </c>
      <c r="N36" s="62">
        <f ca="1">$N$35/((1+CPI)^ProjTerm)</f>
        <v>0</v>
      </c>
    </row>
    <row r="37" spans="2:14" ht="24" customHeight="1" thickBot="1" x14ac:dyDescent="0.45">
      <c r="B37" s="98" t="s">
        <v>43</v>
      </c>
      <c r="C37" s="99">
        <v>2030</v>
      </c>
      <c r="D37" s="85"/>
      <c r="E37" s="94" t="str">
        <f>IF(SingJt="S","Total RNRB","RNRB couple")</f>
        <v>Total RNRB</v>
      </c>
      <c r="F37" s="95">
        <f>Tax!J6</f>
        <v>175000</v>
      </c>
      <c r="G37" s="95">
        <f ca="1">Tax!K6</f>
        <v>306863.55928849254</v>
      </c>
      <c r="H37" s="96"/>
      <c r="I37" s="100"/>
      <c r="J37" s="101"/>
      <c r="K37" s="101"/>
      <c r="L37" s="102"/>
      <c r="M37" s="103"/>
    </row>
    <row r="38" spans="2:14" ht="24" customHeight="1" x14ac:dyDescent="0.4">
      <c r="E38" s="94" t="s">
        <v>44</v>
      </c>
      <c r="F38" s="95">
        <f>Tax!J7</f>
        <v>2000000</v>
      </c>
      <c r="G38" s="95">
        <f ca="1">Tax!K7</f>
        <v>3507012.1061542006</v>
      </c>
      <c r="H38" s="96"/>
      <c r="I38" s="100"/>
      <c r="J38" s="104"/>
      <c r="K38" s="104"/>
      <c r="M38" s="105"/>
    </row>
    <row r="39" spans="2:14" ht="24" customHeight="1" x14ac:dyDescent="0.4">
      <c r="D39" s="85"/>
      <c r="E39" s="106" t="s">
        <v>45</v>
      </c>
      <c r="F39" s="107">
        <f>Tax!J8</f>
        <v>0.4</v>
      </c>
      <c r="G39" s="108">
        <f>Tax!K8</f>
        <v>0.4</v>
      </c>
      <c r="H39" s="109"/>
      <c r="I39" s="100"/>
      <c r="J39" s="110"/>
      <c r="N39" s="111"/>
    </row>
    <row r="40" spans="2:14" ht="24" customHeight="1" x14ac:dyDescent="0.35">
      <c r="J40" s="75"/>
      <c r="K40" s="75"/>
    </row>
    <row r="56" spans="9:21" ht="24" customHeight="1" x14ac:dyDescent="0.35">
      <c r="I56" s="112"/>
      <c r="J56" s="112"/>
      <c r="K56" s="112"/>
      <c r="L56" s="112"/>
      <c r="O56" s="112"/>
      <c r="P56" s="112"/>
      <c r="Q56" s="112"/>
      <c r="R56" s="112"/>
      <c r="S56" s="112"/>
      <c r="T56" s="112"/>
      <c r="U56" s="112"/>
    </row>
    <row r="57" spans="9:21" ht="24" customHeight="1" x14ac:dyDescent="0.35">
      <c r="M57" s="112"/>
      <c r="N57" s="112"/>
    </row>
    <row r="73" spans="10:10" ht="24" customHeight="1" x14ac:dyDescent="0.85">
      <c r="J73" s="113"/>
    </row>
  </sheetData>
  <sheetProtection algorithmName="SHA-512" hashValue="9jNDY1EK7bOaNCkMBB2iySycX9m8HHjWCLHac8LJRI6saQJORbZ3cCwjZOIc6oh1Izzzz34GxxaXtevhn7F6Bw==" saltValue="CCA97bMEjRTQE5h7l1cAHA==" spinCount="100000" sheet="1" objects="1" scenarios="1"/>
  <mergeCells count="20">
    <mergeCell ref="M22:N22"/>
    <mergeCell ref="M18:N18"/>
    <mergeCell ref="M17:N17"/>
    <mergeCell ref="B27:C27"/>
    <mergeCell ref="I8:M9"/>
    <mergeCell ref="M33:N34"/>
    <mergeCell ref="E8:F9"/>
    <mergeCell ref="E10:F11"/>
    <mergeCell ref="B8:C9"/>
    <mergeCell ref="E28:F28"/>
    <mergeCell ref="E30:F32"/>
    <mergeCell ref="B10:C11"/>
    <mergeCell ref="E12:F13"/>
    <mergeCell ref="E18:F19"/>
    <mergeCell ref="E27:F27"/>
    <mergeCell ref="E29:F29"/>
    <mergeCell ref="J11:J12"/>
    <mergeCell ref="K11:K12"/>
    <mergeCell ref="I29:K29"/>
    <mergeCell ref="M25:N25"/>
  </mergeCells>
  <conditionalFormatting sqref="C16">
    <cfRule type="expression" dxfId="23" priority="65">
      <formula>$C$13&lt;&gt;"J"</formula>
    </cfRule>
  </conditionalFormatting>
  <conditionalFormatting sqref="C17">
    <cfRule type="expression" dxfId="22" priority="17">
      <formula>$C$13&lt;&gt;"J"</formula>
    </cfRule>
  </conditionalFormatting>
  <conditionalFormatting sqref="C26">
    <cfRule type="expression" dxfId="21" priority="58">
      <formula>$C$13&lt;&gt;"J"</formula>
    </cfRule>
  </conditionalFormatting>
  <conditionalFormatting sqref="C29">
    <cfRule type="expression" dxfId="20" priority="69">
      <formula>$C$28="N"</formula>
    </cfRule>
  </conditionalFormatting>
  <conditionalFormatting sqref="F16">
    <cfRule type="expression" dxfId="19" priority="8">
      <formula>$C$13="S"</formula>
    </cfRule>
  </conditionalFormatting>
  <conditionalFormatting sqref="F23">
    <cfRule type="expression" dxfId="18" priority="14">
      <formula>$C$13="S"</formula>
    </cfRule>
  </conditionalFormatting>
  <conditionalFormatting sqref="F24:F26">
    <cfRule type="expression" dxfId="17" priority="2">
      <formula>$C$26=0</formula>
    </cfRule>
    <cfRule type="expression" dxfId="16" priority="15">
      <formula>$C$13&lt;&gt;"J"</formula>
    </cfRule>
  </conditionalFormatting>
  <conditionalFormatting sqref="G16">
    <cfRule type="expression" dxfId="15" priority="7">
      <formula>$C$13="S"</formula>
    </cfRule>
  </conditionalFormatting>
  <conditionalFormatting sqref="G28:H28">
    <cfRule type="expression" dxfId="14" priority="26">
      <formula>#REF!="S"</formula>
    </cfRule>
  </conditionalFormatting>
  <conditionalFormatting sqref="I11:K11">
    <cfRule type="expression" dxfId="13" priority="1">
      <formula>$E$10&lt;&gt;""</formula>
    </cfRule>
  </conditionalFormatting>
  <conditionalFormatting sqref="I18:K18">
    <cfRule type="expression" dxfId="12" priority="63">
      <formula>$C$13&lt;&gt;"J"</formula>
    </cfRule>
    <cfRule type="expression" dxfId="11" priority="64">
      <formula>$C$13&lt;&gt;"J"</formula>
    </cfRule>
  </conditionalFormatting>
  <conditionalFormatting sqref="I8:N10 L11:N12 I12 I13:N36">
    <cfRule type="expression" dxfId="10" priority="5">
      <formula>$E$10&lt;&gt;""</formula>
    </cfRule>
  </conditionalFormatting>
  <conditionalFormatting sqref="K22">
    <cfRule type="expression" dxfId="7" priority="11">
      <formula>$K$22=0</formula>
    </cfRule>
  </conditionalFormatting>
  <conditionalFormatting sqref="M17:M18">
    <cfRule type="expression" dxfId="6" priority="48">
      <formula>"""&lt;&gt;"""""""""</formula>
    </cfRule>
  </conditionalFormatting>
  <conditionalFormatting sqref="N19">
    <cfRule type="expression" dxfId="5" priority="20">
      <formula>"""&lt;&gt;"""""""""</formula>
    </cfRule>
  </conditionalFormatting>
  <dataValidations count="8">
    <dataValidation type="list" allowBlank="1" showInputMessage="1" showErrorMessage="1" sqref="C30:C31" xr:uid="{65D02AE5-C27B-4F68-BC99-0745D331B282}">
      <formula1>"Y,N"</formula1>
    </dataValidation>
    <dataValidation type="whole" allowBlank="1" showInputMessage="1" showErrorMessage="1" sqref="C14 C16" xr:uid="{80191A81-4495-44E7-B073-3CCC48B1DEB0}">
      <formula1>20</formula1>
      <formula2>95</formula2>
    </dataValidation>
    <dataValidation type="whole" allowBlank="1" showInputMessage="1" showErrorMessage="1" promptTitle="Please put in a monetary amount " sqref="C19:C21 C24:C26 F24 F21" xr:uid="{A5884C00-6273-4CC1-8C9E-4D43B3A1A312}">
      <formula1>0</formula1>
      <formula2>200000000</formula2>
    </dataValidation>
    <dataValidation type="decimal" allowBlank="1" showInputMessage="1" showErrorMessage="1" sqref="C32:C36" xr:uid="{CD32B5DA-0AF2-47DA-9E13-C52AAFB355A8}">
      <formula1>0</formula1>
      <formula2>0.1</formula2>
    </dataValidation>
    <dataValidation type="whole" allowBlank="1" showInputMessage="1" showErrorMessage="1" sqref="C22:C23" xr:uid="{3BB439ED-72CA-4075-922E-AEEDC4CE9954}">
      <formula1>0</formula1>
      <formula2>50000000</formula2>
    </dataValidation>
    <dataValidation type="whole" allowBlank="1" showInputMessage="1" showErrorMessage="1" sqref="C29" xr:uid="{D6E9768A-E0D4-40B2-9C61-29FC273F72F7}">
      <formula1>0</formula1>
      <formula2>50</formula2>
    </dataValidation>
    <dataValidation type="whole" errorStyle="warning" allowBlank="1" showErrorMessage="1" errorTitle="Please put in monetary amount" error="PCLS 1 must be less than Life 1 total DC Pension" promptTitle="Please put in a monetary amount " sqref="F15" xr:uid="{0D332047-27D8-4EFE-9063-CDE8D24093A7}">
      <formula1>0</formula1>
      <formula2>C25</formula2>
    </dataValidation>
    <dataValidation type="whole" allowBlank="1" showErrorMessage="1" errorTitle="Please put in Monetary Amount" error="Life2 PCLS must be less than Life 2 total DC pension" promptTitle="Please put in a monetary amount " sqref="F16" xr:uid="{85DAD602-1A44-4B6B-AC8C-9AEB9E2015FE}">
      <formula1>0</formula1>
      <formula2>C26</formula2>
    </dataValidation>
  </dataValidations>
  <pageMargins left="0.70866141732283472" right="0.70866141732283472" top="0.74803149606299213" bottom="0.74803149606299213" header="0.31496062992125984" footer="0.31496062992125984"/>
  <pageSetup paperSize="9" scale="47" fitToHeight="2" orientation="landscape" verticalDpi="1200" r:id="rId1"/>
  <rowBreaks count="1" manualBreakCount="1">
    <brk id="40" max="14" man="1"/>
  </rowBreaks>
  <ignoredErrors>
    <ignoredError sqref="B20"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9" id="{29DA046E-59C4-428C-9F0E-4721405DD83A}">
            <xm:f>AND($K$22&gt;0,$K$22&lt;Tax!$K$6)</xm:f>
            <x14:dxf>
              <fill>
                <patternFill>
                  <bgColor rgb="FFE8BC64"/>
                </patternFill>
              </fill>
            </x14:dxf>
          </x14:cfRule>
          <x14:cfRule type="expression" priority="10" id="{72589112-866E-45DD-9A37-75B61C13174D}">
            <xm:f>$K$22=Tax!$K$6</xm:f>
            <x14:dxf>
              <font>
                <color theme="0"/>
              </font>
              <fill>
                <patternFill>
                  <bgColor rgb="FF0F7B3F"/>
                </patternFill>
              </fill>
            </x14:dxf>
          </x14:cfRule>
          <xm:sqref>K22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F9FDA93C-0CB1-4EED-8CDE-FE3B2D84EFDA}">
          <x14:formula1>
            <xm:f>Working!$B$3:$D$3</xm:f>
          </x14:formula1>
          <xm:sqref>C13</xm:sqref>
        </x14:dataValidation>
        <x14:dataValidation type="list" allowBlank="1" showInputMessage="1" showErrorMessage="1" xr:uid="{36472DA4-955D-4BE7-A342-F83A424C727E}">
          <x14:formula1>
            <xm:f>Working!$B$2:$M$2</xm:f>
          </x14:formula1>
          <xm:sqref>F23 F26</xm:sqref>
        </x14:dataValidation>
        <x14:dataValidation type="list" allowBlank="1" showInputMessage="1" showErrorMessage="1" xr:uid="{B6881402-F752-43C4-9A85-48B52F37EFF6}">
          <x14:formula1>
            <xm:f>Working!$B$5:$C$5</xm:f>
          </x14:formula1>
          <xm:sqref>C28</xm:sqref>
        </x14:dataValidation>
        <x14:dataValidation type="list" allowBlank="1" showInputMessage="1" showErrorMessage="1" xr:uid="{B2AD8BBE-5B70-499B-89D1-EEB6100E02E3}">
          <x14:formula1>
            <xm:f>Working!$B$6:$C$6</xm:f>
          </x14:formula1>
          <xm:sqref>C15 C17</xm:sqref>
        </x14:dataValidation>
        <x14:dataValidation type="list" allowBlank="1" showInputMessage="1" showErrorMessage="1" xr:uid="{EA5FD082-D307-46E2-8E2D-8EE0B09DCD07}">
          <x14:formula1>
            <xm:f>Working!$F$5:$F$25</xm:f>
          </x14:formula1>
          <xm:sqref>F22 F25</xm:sqref>
        </x14:dataValidation>
        <x14:dataValidation type="list" allowBlank="1" showInputMessage="1" showErrorMessage="1" xr:uid="{A587D69A-2E41-4BF2-8FC4-6E8B843CB9CC}">
          <x14:formula1>
            <xm:f>Working!$G$10:$G$26</xm:f>
          </x14:formula1>
          <xm:sqref>C37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42636-09CA-422B-B680-11B6D308105D}">
  <sheetPr codeName="Sheet5"/>
  <dimension ref="A1:AA73"/>
  <sheetViews>
    <sheetView workbookViewId="0">
      <selection activeCell="E3" sqref="E3"/>
    </sheetView>
  </sheetViews>
  <sheetFormatPr defaultColWidth="9.109375" defaultRowHeight="15.6" x14ac:dyDescent="0.35"/>
  <cols>
    <col min="1" max="1" width="28.88671875" style="3" bestFit="1" customWidth="1"/>
    <col min="2" max="2" width="6.88671875" style="3" customWidth="1"/>
    <col min="3" max="3" width="13.5546875" style="3" bestFit="1" customWidth="1"/>
    <col min="4" max="4" width="13" style="3" customWidth="1"/>
    <col min="5" max="5" width="16.33203125" style="3" customWidth="1"/>
    <col min="6" max="6" width="14.5546875" style="3" customWidth="1"/>
    <col min="7" max="8" width="9.109375" style="5"/>
    <col min="9" max="9" width="32.6640625" style="5" bestFit="1" customWidth="1"/>
    <col min="10" max="10" width="13.6640625" style="5" bestFit="1" customWidth="1"/>
    <col min="11" max="11" width="14.33203125" style="5" customWidth="1"/>
    <col min="12" max="12" width="11.5546875" style="5" bestFit="1" customWidth="1"/>
    <col min="13" max="13" width="15" style="5" customWidth="1"/>
    <col min="14" max="14" width="11.33203125" style="5" bestFit="1" customWidth="1"/>
    <col min="15" max="15" width="13.6640625" style="5" bestFit="1" customWidth="1"/>
    <col min="16" max="18" width="10" style="5" bestFit="1" customWidth="1"/>
    <col min="19" max="19" width="11.33203125" style="5" bestFit="1" customWidth="1"/>
    <col min="20" max="20" width="14.33203125" style="5" customWidth="1"/>
    <col min="21" max="21" width="10" style="5" bestFit="1" customWidth="1"/>
    <col min="22" max="22" width="16.6640625" style="5" bestFit="1" customWidth="1"/>
    <col min="23" max="23" width="9.109375" style="5"/>
    <col min="24" max="24" width="10.6640625" style="5" bestFit="1" customWidth="1"/>
    <col min="25" max="25" width="9.109375" style="5"/>
    <col min="26" max="26" width="8.6640625" style="5" bestFit="1" customWidth="1"/>
    <col min="27" max="16384" width="9.109375" style="5"/>
  </cols>
  <sheetData>
    <row r="1" spans="1:11" ht="30" x14ac:dyDescent="0.35">
      <c r="A1" s="114" t="s">
        <v>46</v>
      </c>
      <c r="B1" s="115"/>
      <c r="C1" s="116">
        <f ca="1">YEAR</f>
        <v>2025</v>
      </c>
      <c r="D1" s="116">
        <f ca="1">C1+ProjTerm</f>
        <v>2049</v>
      </c>
      <c r="E1" s="117"/>
      <c r="F1" s="118"/>
      <c r="I1" s="119"/>
      <c r="J1" s="3"/>
      <c r="K1" s="3"/>
    </row>
    <row r="2" spans="1:11" ht="16.2" thickBot="1" x14ac:dyDescent="0.4">
      <c r="A2" s="120"/>
      <c r="C2" s="121" t="s">
        <v>47</v>
      </c>
      <c r="D2" s="121" t="s">
        <v>47</v>
      </c>
      <c r="F2" s="122"/>
      <c r="I2" s="2"/>
      <c r="J2" s="3"/>
      <c r="K2" s="3"/>
    </row>
    <row r="3" spans="1:11" ht="16.2" thickBot="1" x14ac:dyDescent="0.4">
      <c r="A3" s="123" t="str">
        <f>Calcs!I32</f>
        <v>Pension net of IHT</v>
      </c>
      <c r="B3" s="124"/>
      <c r="C3" s="125"/>
      <c r="D3" s="125"/>
      <c r="E3" s="126">
        <f ca="1">Calcs!J32</f>
        <v>0</v>
      </c>
      <c r="F3" s="127">
        <f ca="1">Calcs!K32</f>
        <v>0</v>
      </c>
      <c r="I3" s="2"/>
      <c r="J3" s="128" t="str">
        <f ca="1">YEAR&amp;" Bands"</f>
        <v>2025 Bands</v>
      </c>
      <c r="K3" s="129" t="str">
        <f ca="1">(YEAR+ProjTerm)&amp;" Bands"</f>
        <v>2049 Bands</v>
      </c>
    </row>
    <row r="4" spans="1:11" ht="17.399999999999999" x14ac:dyDescent="0.35">
      <c r="A4" s="123"/>
      <c r="B4" s="124"/>
      <c r="C4" s="125"/>
      <c r="D4" s="125"/>
      <c r="E4" s="130"/>
      <c r="F4" s="131"/>
      <c r="I4" s="132" t="s">
        <v>48</v>
      </c>
      <c r="J4" s="133">
        <f>2*Working!B12/(1+(Calcs!C13="S"))</f>
        <v>325000</v>
      </c>
      <c r="K4" s="134">
        <f ca="1">J4*(1+Calcs!C32)^IFERROR(MAX(ProjTerm+YEAR-IHTinflateyr,0),0)</f>
        <v>569889.46725005761</v>
      </c>
    </row>
    <row r="5" spans="1:11" ht="17.399999999999999" x14ac:dyDescent="0.35">
      <c r="A5" s="123" t="s">
        <v>49</v>
      </c>
      <c r="B5" s="135"/>
      <c r="C5" s="136">
        <v>12570</v>
      </c>
      <c r="D5" s="137">
        <f ca="1">C5*(1+Calcs!C32)^(ProjTerm+MIN(YEAR-2028,0))</f>
        <v>23383.902766388357</v>
      </c>
      <c r="E5" s="137">
        <f ca="1">IF(E3&lt;=D15,D5,IF(E3&lt;=D8,MAX(0,D5-(E3-D15)/2),0))</f>
        <v>23383.902766388357</v>
      </c>
      <c r="F5" s="138">
        <f ca="1">IF(F3&lt;=D15,D5,IF(F3&lt;=D8,MAX(0,D5-(F3-D15)/2),0))</f>
        <v>23383.902766388357</v>
      </c>
      <c r="I5" s="132" t="s">
        <v>50</v>
      </c>
      <c r="J5" s="139">
        <f>IF(Calcs!C31="N",0,Working!B10)</f>
        <v>175000</v>
      </c>
      <c r="K5" s="140">
        <f ca="1">J5*(1+Calcs!C32)^IFERROR(MAX(ProjTerm+YEAR-IHTinflateyr,0),0)</f>
        <v>306863.55928849254</v>
      </c>
    </row>
    <row r="6" spans="1:11" ht="17.399999999999999" x14ac:dyDescent="0.35">
      <c r="A6" s="123" t="s">
        <v>51</v>
      </c>
      <c r="B6" s="124"/>
      <c r="C6" s="125"/>
      <c r="D6" s="137"/>
      <c r="E6" s="137">
        <f ca="1">MAX(0,E3-E5)</f>
        <v>0</v>
      </c>
      <c r="F6" s="138">
        <f ca="1">MAX(0,F3-F5)</f>
        <v>0</v>
      </c>
      <c r="I6" s="132" t="str">
        <f>IF(Calcs!C13="S","Total RNRB","RNRB Couple")</f>
        <v>Total RNRB</v>
      </c>
      <c r="J6" s="139">
        <f>J5*(1+(Calcs!C13&lt;&gt;"S"))</f>
        <v>175000</v>
      </c>
      <c r="K6" s="140">
        <f ca="1">J6*(1+Calcs!C32)^IFERROR(MAX(ProjTerm+YEAR-IHTinflateyr,0),0)</f>
        <v>306863.55928849254</v>
      </c>
    </row>
    <row r="7" spans="1:11" ht="17.399999999999999" x14ac:dyDescent="0.35">
      <c r="A7" s="123" t="s">
        <v>52</v>
      </c>
      <c r="B7" s="141">
        <v>0.2</v>
      </c>
      <c r="C7" s="136">
        <v>37700</v>
      </c>
      <c r="D7" s="137">
        <f ca="1">C7*(1+Calcs!C32)^(ProjTerm+MIN(YEAR-2028,0))</f>
        <v>70133.105353447972</v>
      </c>
      <c r="E7" s="137">
        <f ca="1">IF(E6&lt;=D7,E6*B7,D7*B7)</f>
        <v>0</v>
      </c>
      <c r="F7" s="138">
        <f ca="1">IF(F6&lt;=D7,F6*B7,D7*B7)</f>
        <v>0</v>
      </c>
      <c r="I7" s="132" t="s">
        <v>53</v>
      </c>
      <c r="J7" s="139">
        <f>Working!B13</f>
        <v>2000000</v>
      </c>
      <c r="K7" s="140">
        <f ca="1">J7*(1+Calcs!C32)^IFERROR(MAX(ProjTerm+YEAR-IHTinflateyr,0),0)</f>
        <v>3507012.1061542006</v>
      </c>
    </row>
    <row r="8" spans="1:11" ht="18" thickBot="1" x14ac:dyDescent="0.4">
      <c r="A8" s="123" t="s">
        <v>54</v>
      </c>
      <c r="B8" s="141">
        <v>0.4</v>
      </c>
      <c r="C8" s="136">
        <v>125140</v>
      </c>
      <c r="D8" s="137">
        <f ca="1">C8*(1+Calcs!C32)^(ProjTerm+MIN(YEAR-2028,0))</f>
        <v>232797.26270372624</v>
      </c>
      <c r="E8" s="137">
        <f ca="1">IF(E6&gt;D7,IF(E6&lt;=D8,(E6-D7)*B8,(D8-D7)*B8),0)</f>
        <v>0</v>
      </c>
      <c r="F8" s="138">
        <f ca="1">IF(F6&gt;D7,IF(F6&lt;=D8,(F6-D7)*B8,(D8-D7)*B8),0)</f>
        <v>0</v>
      </c>
      <c r="I8" s="132" t="s">
        <v>55</v>
      </c>
      <c r="J8" s="142">
        <f>Working!B11</f>
        <v>0.4</v>
      </c>
      <c r="K8" s="143">
        <f>J8</f>
        <v>0.4</v>
      </c>
    </row>
    <row r="9" spans="1:11" ht="16.2" thickBot="1" x14ac:dyDescent="0.4">
      <c r="A9" s="123" t="s">
        <v>56</v>
      </c>
      <c r="B9" s="141">
        <v>0.45</v>
      </c>
      <c r="C9" s="125"/>
      <c r="D9" s="137"/>
      <c r="E9" s="137">
        <f ca="1">IF(E6&gt;D8,(E6-D8)*B9,0)</f>
        <v>0</v>
      </c>
      <c r="F9" s="138">
        <f ca="1">IF(F6&gt;D8,(F6-D8)*B9,0)</f>
        <v>0</v>
      </c>
      <c r="I9" s="2"/>
      <c r="J9" s="3"/>
      <c r="K9" s="3"/>
    </row>
    <row r="10" spans="1:11" ht="21.6" thickBot="1" x14ac:dyDescent="0.55000000000000004">
      <c r="A10" s="144" t="s">
        <v>57</v>
      </c>
      <c r="B10" s="145"/>
      <c r="C10" s="146"/>
      <c r="D10" s="137"/>
      <c r="E10" s="137">
        <f ca="1">E7+E8+E9</f>
        <v>0</v>
      </c>
      <c r="F10" s="138">
        <f ca="1">F7+F8+F9</f>
        <v>0</v>
      </c>
      <c r="I10" s="147" t="s">
        <v>58</v>
      </c>
      <c r="J10" s="148">
        <f>IF(Calcs!C28="N",Calcs!C18,Calcs!C29)</f>
        <v>24</v>
      </c>
      <c r="K10" s="3"/>
    </row>
    <row r="11" spans="1:11" x14ac:dyDescent="0.35">
      <c r="A11" s="120"/>
      <c r="D11" s="149"/>
      <c r="E11" s="150"/>
      <c r="F11" s="138"/>
      <c r="I11" s="151" t="s">
        <v>59</v>
      </c>
    </row>
    <row r="12" spans="1:11" ht="21" x14ac:dyDescent="0.5">
      <c r="A12" s="123" t="s">
        <v>60</v>
      </c>
      <c r="B12" s="124"/>
      <c r="C12" s="146"/>
      <c r="D12" s="137"/>
      <c r="E12" s="152">
        <f ca="1">IF(E3&lt;=D5,0%,IF(E3&lt;=D7,B7,IF(E3&lt;=D8,B8,B9)))</f>
        <v>0</v>
      </c>
      <c r="F12" s="153">
        <f ca="1">IF(F3&lt;=D5,0%,IF(F3&lt;=D7,B7,IF(F3&lt;=E8,B8,B9)))</f>
        <v>0</v>
      </c>
      <c r="I12" s="154" t="s">
        <v>61</v>
      </c>
    </row>
    <row r="13" spans="1:11" x14ac:dyDescent="0.35">
      <c r="A13" s="123" t="s">
        <v>62</v>
      </c>
      <c r="B13" s="124"/>
      <c r="C13" s="155"/>
      <c r="D13" s="137"/>
      <c r="E13" s="152">
        <f ca="1">IFERROR(E10/E3,0)</f>
        <v>0</v>
      </c>
      <c r="F13" s="153">
        <f ca="1">IFERROR(F10/F3,0)</f>
        <v>0</v>
      </c>
      <c r="I13" s="154" t="s">
        <v>63</v>
      </c>
    </row>
    <row r="14" spans="1:11" x14ac:dyDescent="0.35">
      <c r="A14" s="120"/>
      <c r="C14" s="155"/>
      <c r="D14" s="137"/>
      <c r="E14" s="149"/>
      <c r="F14" s="156"/>
    </row>
    <row r="15" spans="1:11" ht="18" thickBot="1" x14ac:dyDescent="0.4">
      <c r="A15" s="157" t="s">
        <v>64</v>
      </c>
      <c r="B15" s="158"/>
      <c r="C15" s="159">
        <v>100000</v>
      </c>
      <c r="D15" s="160">
        <f>C15*(1+Calcs!C32)^(ProjTerm+2025-2028)</f>
        <v>186029.45717094955</v>
      </c>
      <c r="E15" s="161"/>
      <c r="F15" s="162"/>
      <c r="I15" s="132" t="s">
        <v>191</v>
      </c>
    </row>
    <row r="16" spans="1:11" ht="16.2" thickBot="1" x14ac:dyDescent="0.4">
      <c r="I16" s="137">
        <f ca="1">MAX((IF(SCIT="N",Tax!F12,Tax!F31)-Tax!B7)*(BondGain-(L1PCLS+L2PCLS*(SingJt="J"))),0)</f>
        <v>0</v>
      </c>
    </row>
    <row r="17" spans="1:27" x14ac:dyDescent="0.35">
      <c r="A17" s="114" t="s">
        <v>65</v>
      </c>
      <c r="B17" s="115"/>
      <c r="C17" s="116">
        <f ca="1">YEAR</f>
        <v>2025</v>
      </c>
      <c r="D17" s="116">
        <f ca="1">C17+ProjTerm</f>
        <v>2049</v>
      </c>
      <c r="E17" s="117"/>
      <c r="F17" s="118"/>
      <c r="I17" s="188" t="str">
        <f ca="1">"If the bond is fully surrendered when pension is inherited, bond gain is subject to income tax at the beneficiary’s highest marginal rate, with credit for basic rate tax already paid. This example's resulting tax liability would be £"&amp;TEXT(ROUND(I16,0),"#,##0")&amp;"."</f>
        <v>If the bond is fully surrendered when pension is inherited, bond gain is subject to income tax at the beneficiary’s highest marginal rate, with credit for basic rate tax already paid. This example's resulting tax liability would be £0.</v>
      </c>
    </row>
    <row r="18" spans="1:27" x14ac:dyDescent="0.35">
      <c r="A18" s="120"/>
      <c r="C18" s="121" t="s">
        <v>47</v>
      </c>
      <c r="D18" s="121" t="s">
        <v>47</v>
      </c>
      <c r="F18" s="122"/>
      <c r="I18" s="5" t="s">
        <v>66</v>
      </c>
    </row>
    <row r="19" spans="1:27" x14ac:dyDescent="0.35">
      <c r="A19" s="123" t="str">
        <f>A3</f>
        <v>Pension net of IHT</v>
      </c>
      <c r="B19" s="124"/>
      <c r="C19" s="125"/>
      <c r="D19" s="125"/>
      <c r="E19" s="126">
        <f ca="1">E3</f>
        <v>0</v>
      </c>
      <c r="F19" s="127">
        <f ca="1">F3</f>
        <v>0</v>
      </c>
    </row>
    <row r="20" spans="1:27" x14ac:dyDescent="0.35">
      <c r="A20" s="123"/>
      <c r="B20" s="124"/>
      <c r="C20" s="125"/>
      <c r="D20" s="125"/>
      <c r="E20" s="130"/>
      <c r="F20" s="131"/>
      <c r="I20" s="149" t="s">
        <v>67</v>
      </c>
      <c r="J20" s="149"/>
      <c r="K20" s="149"/>
      <c r="L20" s="149"/>
      <c r="M20" s="149"/>
      <c r="N20" s="149"/>
      <c r="O20" s="149"/>
    </row>
    <row r="21" spans="1:27" x14ac:dyDescent="0.35">
      <c r="A21" s="123" t="s">
        <v>49</v>
      </c>
      <c r="B21" s="135"/>
      <c r="C21" s="136">
        <f>12570</f>
        <v>12570</v>
      </c>
      <c r="D21" s="137">
        <f ca="1">C21*(1+Calcs!C32)^(ProjTerm+MIN(YEAR-2028,0))</f>
        <v>23383.902766388357</v>
      </c>
      <c r="E21" s="163">
        <f ca="1">IF($E$19&lt;=STAP,SPA,IF($E$19&lt;=SAR,MAX(0,-($E$19-STAP)/2),0))</f>
        <v>23383.902766388357</v>
      </c>
      <c r="F21" s="164">
        <f ca="1">IF($F$19&lt;=STAP,SPA,IF($F$19&lt;=SAR,MAX(0,-($F$19-STAP)/2),0))</f>
        <v>23383.902766388357</v>
      </c>
      <c r="J21" s="165" t="s">
        <v>68</v>
      </c>
      <c r="K21" s="166" t="s">
        <v>69</v>
      </c>
      <c r="L21" s="166" t="s">
        <v>70</v>
      </c>
      <c r="M21" s="166" t="s">
        <v>71</v>
      </c>
      <c r="N21" s="166" t="s">
        <v>72</v>
      </c>
      <c r="O21" s="166" t="s">
        <v>73</v>
      </c>
      <c r="P21" s="166" t="s">
        <v>74</v>
      </c>
      <c r="Q21" s="167" t="s">
        <v>75</v>
      </c>
      <c r="T21" s="168" t="s">
        <v>68</v>
      </c>
      <c r="U21" s="169" t="s">
        <v>69</v>
      </c>
      <c r="V21" s="169" t="s">
        <v>76</v>
      </c>
      <c r="W21" s="169" t="s">
        <v>71</v>
      </c>
      <c r="X21" s="169" t="s">
        <v>72</v>
      </c>
      <c r="Y21" s="169" t="s">
        <v>73</v>
      </c>
      <c r="Z21" s="169" t="s">
        <v>74</v>
      </c>
      <c r="AA21" s="170" t="s">
        <v>75</v>
      </c>
    </row>
    <row r="22" spans="1:27" x14ac:dyDescent="0.35">
      <c r="A22" s="123" t="s">
        <v>51</v>
      </c>
      <c r="B22" s="124"/>
      <c r="C22" s="136"/>
      <c r="D22" s="137"/>
      <c r="E22" s="163">
        <f ca="1">MAX(0,E19-E21)</f>
        <v>0</v>
      </c>
      <c r="F22" s="164">
        <f ca="1">MAX(0,F19-F21)</f>
        <v>0</v>
      </c>
      <c r="G22" s="5" t="s">
        <v>77</v>
      </c>
      <c r="J22" s="171">
        <f ca="1">(E19&lt;SPA)*1</f>
        <v>1</v>
      </c>
      <c r="K22" s="172">
        <v>0</v>
      </c>
      <c r="L22" s="172"/>
      <c r="M22" s="172"/>
      <c r="N22" s="172"/>
      <c r="O22" s="172"/>
      <c r="P22" s="172"/>
      <c r="Q22" s="173">
        <f>SUM(K22:P22)</f>
        <v>0</v>
      </c>
      <c r="T22" s="174">
        <f ca="1">(F19&lt;SPA)*1</f>
        <v>1</v>
      </c>
      <c r="U22" s="175">
        <v>0</v>
      </c>
      <c r="V22" s="175"/>
      <c r="W22" s="175"/>
      <c r="X22" s="175"/>
      <c r="Y22" s="175"/>
      <c r="Z22" s="175"/>
      <c r="AA22" s="176">
        <f>SUM(U22:Z22)</f>
        <v>0</v>
      </c>
    </row>
    <row r="23" spans="1:27" x14ac:dyDescent="0.35">
      <c r="A23" s="123" t="s">
        <v>69</v>
      </c>
      <c r="B23" s="141">
        <v>0.19</v>
      </c>
      <c r="C23" s="136">
        <v>15397</v>
      </c>
      <c r="D23" s="137">
        <f ca="1">C23*(1+Calcs!C32)^(ProjTerm+MIN(YEAR-2028,0))</f>
        <v>28642.9555206111</v>
      </c>
      <c r="E23" s="163">
        <f ca="1">INDEX(K$22:K$29, MATCH(1, J$22:J$29, 0))</f>
        <v>0</v>
      </c>
      <c r="F23" s="164">
        <f ca="1">INDEX(U$22:U$29, MATCH(1, T$22:T$29, 0))</f>
        <v>0</v>
      </c>
      <c r="J23" s="171">
        <f ca="1">(E19&lt;SSR)*(SUM(J22:J22)=0)</f>
        <v>0</v>
      </c>
      <c r="K23" s="172">
        <f ca="1">(E19-SPA)*SSRT</f>
        <v>-4442.9415256137881</v>
      </c>
      <c r="L23" s="172">
        <v>0</v>
      </c>
      <c r="M23" s="172">
        <v>0</v>
      </c>
      <c r="N23" s="172">
        <v>0</v>
      </c>
      <c r="O23" s="172">
        <v>0</v>
      </c>
      <c r="P23" s="172">
        <v>0</v>
      </c>
      <c r="Q23" s="173">
        <f t="shared" ref="Q23:Q29" ca="1" si="0">SUM(K23:P23)</f>
        <v>-4442.9415256137881</v>
      </c>
      <c r="T23" s="174">
        <f ca="1">(F19&lt;SSR)*(SUM(T22:T22)=0)</f>
        <v>0</v>
      </c>
      <c r="U23" s="175">
        <f ca="1">(F19-SPA)*SSRT</f>
        <v>-4442.9415256137881</v>
      </c>
      <c r="V23" s="175">
        <v>0</v>
      </c>
      <c r="W23" s="175">
        <v>0</v>
      </c>
      <c r="X23" s="175">
        <v>0</v>
      </c>
      <c r="Y23" s="175">
        <v>0</v>
      </c>
      <c r="Z23" s="175">
        <v>0</v>
      </c>
      <c r="AA23" s="176">
        <f t="shared" ref="AA23:AA29" ca="1" si="1">SUM(U23:Z23)</f>
        <v>-4442.9415256137881</v>
      </c>
    </row>
    <row r="24" spans="1:27" x14ac:dyDescent="0.35">
      <c r="A24" s="123" t="s">
        <v>76</v>
      </c>
      <c r="B24" s="141">
        <v>0.2</v>
      </c>
      <c r="C24" s="136">
        <v>27491</v>
      </c>
      <c r="D24" s="137">
        <f ca="1">C24*(1+Calcs!C32)^(ProjTerm+MIN(YEAR-2028,0))</f>
        <v>51141.358070865739</v>
      </c>
      <c r="E24" s="163">
        <f ca="1">INDEX(L$22:L$29, MATCH(1, J$22:J$29, 0))</f>
        <v>0</v>
      </c>
      <c r="F24" s="164">
        <f ca="1">INDEX(V$22:V$29, MATCH(1, T$22:T$29, 0))</f>
        <v>0</v>
      </c>
      <c r="J24" s="171">
        <f ca="1">(E19&lt;SBR)*(SUM(J22:J23)=0)</f>
        <v>0</v>
      </c>
      <c r="K24" s="172">
        <f ca="1">(SSR-SPA)*SSRT</f>
        <v>999.22002330232112</v>
      </c>
      <c r="L24" s="172">
        <f ca="1">(E19-SSR)*SBRT</f>
        <v>-5728.5911041222207</v>
      </c>
      <c r="M24" s="172">
        <v>0</v>
      </c>
      <c r="N24" s="172">
        <v>0</v>
      </c>
      <c r="O24" s="172">
        <v>0</v>
      </c>
      <c r="P24" s="172">
        <v>0</v>
      </c>
      <c r="Q24" s="173">
        <f t="shared" ca="1" si="0"/>
        <v>-4729.3710808198994</v>
      </c>
      <c r="T24" s="174">
        <f ca="1">(F19&lt;SBR)*(SUM(T22:T23)=0)</f>
        <v>0</v>
      </c>
      <c r="U24" s="175">
        <f ca="1">(SSR-SPA)*SSRT</f>
        <v>999.22002330232112</v>
      </c>
      <c r="V24" s="175">
        <f ca="1">(F19-SSR)*SBRT</f>
        <v>-5728.5911041222207</v>
      </c>
      <c r="W24" s="175">
        <v>0</v>
      </c>
      <c r="X24" s="175">
        <v>0</v>
      </c>
      <c r="Y24" s="175">
        <v>0</v>
      </c>
      <c r="Z24" s="175">
        <v>0</v>
      </c>
      <c r="AA24" s="176">
        <f t="shared" ca="1" si="1"/>
        <v>-4729.3710808198994</v>
      </c>
    </row>
    <row r="25" spans="1:27" x14ac:dyDescent="0.35">
      <c r="A25" s="123" t="s">
        <v>71</v>
      </c>
      <c r="B25" s="141">
        <v>0.21</v>
      </c>
      <c r="C25" s="136">
        <v>43662</v>
      </c>
      <c r="D25" s="137">
        <f ca="1">C25*(1+Calcs!C32)^(ProjTerm+MIN(YEAR-2028,0))</f>
        <v>81224.181589979984</v>
      </c>
      <c r="E25" s="163">
        <f ca="1">INDEX(M$22:M$29, MATCH(1, J$22:J$29, 0))</f>
        <v>0</v>
      </c>
      <c r="F25" s="164">
        <f ca="1">INDEX(W$22:W$29, MATCH(1, T$22:T$29, 0))</f>
        <v>0</v>
      </c>
      <c r="J25" s="171">
        <f ca="1">(E19&lt;SIR)*(SUM(J22:J24)=0)</f>
        <v>0</v>
      </c>
      <c r="K25" s="172">
        <f ca="1">K24</f>
        <v>999.22002330232112</v>
      </c>
      <c r="L25" s="172">
        <f ca="1">(SBR-SSR)*SBRT</f>
        <v>4499.6805100509282</v>
      </c>
      <c r="M25" s="172">
        <f ca="1">(E19-SBR)*SIRT</f>
        <v>-10739.685194881806</v>
      </c>
      <c r="N25" s="172">
        <v>0</v>
      </c>
      <c r="O25" s="172">
        <v>0</v>
      </c>
      <c r="P25" s="172">
        <v>0</v>
      </c>
      <c r="Q25" s="173">
        <f t="shared" ca="1" si="0"/>
        <v>-5240.7846615285562</v>
      </c>
      <c r="T25" s="174">
        <f ca="1">(F19&lt;SIR)*(SUM(T22:T24)=0)</f>
        <v>0</v>
      </c>
      <c r="U25" s="175">
        <f ca="1">U24</f>
        <v>999.22002330232112</v>
      </c>
      <c r="V25" s="175">
        <f ca="1">(SBR-SSR)*SBRT</f>
        <v>4499.6805100509282</v>
      </c>
      <c r="W25" s="175">
        <f ca="1">(F19-SBR)*SIRT</f>
        <v>-10739.685194881806</v>
      </c>
      <c r="X25" s="175">
        <v>0</v>
      </c>
      <c r="Y25" s="175">
        <v>0</v>
      </c>
      <c r="Z25" s="175">
        <v>0</v>
      </c>
      <c r="AA25" s="176">
        <f t="shared" ca="1" si="1"/>
        <v>-5240.7846615285562</v>
      </c>
    </row>
    <row r="26" spans="1:27" x14ac:dyDescent="0.35">
      <c r="A26" s="123" t="s">
        <v>72</v>
      </c>
      <c r="B26" s="141">
        <v>0.42</v>
      </c>
      <c r="C26" s="136">
        <v>75000</v>
      </c>
      <c r="D26" s="137">
        <f ca="1">C26*(1+Calcs!C32)^(ProjTerm+MIN(YEAR-2028,0))</f>
        <v>139522.09287821216</v>
      </c>
      <c r="E26" s="163">
        <f ca="1">INDEX(N$22:N$29, MATCH(1, J$22:J$29, 0))</f>
        <v>0</v>
      </c>
      <c r="F26" s="164">
        <f ca="1">INDEX(X$22:X$29, MATCH(1, T$22:T$29, 0))</f>
        <v>0</v>
      </c>
      <c r="J26" s="171">
        <f ca="1">(E19&lt;SHR)*(SUM(J22:J25)=0)</f>
        <v>0</v>
      </c>
      <c r="K26" s="172">
        <f ca="1">K25</f>
        <v>999.22002330232112</v>
      </c>
      <c r="L26" s="172">
        <f ca="1">L25</f>
        <v>4499.6805100509282</v>
      </c>
      <c r="M26" s="172">
        <f ca="1">(SIR-SBR)*SIRT</f>
        <v>6317.3929390139911</v>
      </c>
      <c r="N26" s="172">
        <f ca="1">(E19-SIR)*SHRT</f>
        <v>-34114.156267791594</v>
      </c>
      <c r="O26" s="172">
        <v>0</v>
      </c>
      <c r="P26" s="172">
        <v>0</v>
      </c>
      <c r="Q26" s="173">
        <f t="shared" ca="1" si="0"/>
        <v>-22297.862795424353</v>
      </c>
      <c r="T26" s="174">
        <f ca="1">(F19&lt;SHR)*(SUM(T22:T25)=0)</f>
        <v>0</v>
      </c>
      <c r="U26" s="175">
        <f ca="1">U25</f>
        <v>999.22002330232112</v>
      </c>
      <c r="V26" s="175">
        <f ca="1">V25</f>
        <v>4499.6805100509282</v>
      </c>
      <c r="W26" s="175">
        <f ca="1">(SIR-SBR)*SIRT</f>
        <v>6317.3929390139911</v>
      </c>
      <c r="X26" s="175">
        <f ca="1">(F19-SIR)*SHRT</f>
        <v>-34114.156267791594</v>
      </c>
      <c r="Y26" s="175">
        <v>0</v>
      </c>
      <c r="Z26" s="175">
        <v>0</v>
      </c>
      <c r="AA26" s="176">
        <f t="shared" ca="1" si="1"/>
        <v>-22297.862795424353</v>
      </c>
    </row>
    <row r="27" spans="1:27" x14ac:dyDescent="0.35">
      <c r="A27" s="123" t="s">
        <v>73</v>
      </c>
      <c r="B27" s="141">
        <v>0.45</v>
      </c>
      <c r="C27" s="136">
        <v>125140</v>
      </c>
      <c r="D27" s="137">
        <f ca="1">C27*(1+Calcs!C32)^(ProjTerm+MIN(YEAR-2028,0))</f>
        <v>232797.26270372624</v>
      </c>
      <c r="E27" s="163">
        <f ca="1">INDEX(O$22:O$29, MATCH(1, J$22:J$29, 0))</f>
        <v>0</v>
      </c>
      <c r="F27" s="164">
        <f ca="1">INDEX(Y$22:Y$29, MATCH(1, T$22:T$29, 0))</f>
        <v>0</v>
      </c>
      <c r="J27" s="171"/>
      <c r="K27" s="172">
        <f ca="1">K26</f>
        <v>999.22002330232112</v>
      </c>
      <c r="L27" s="172">
        <f ca="1">L26</f>
        <v>4499.6805100509282</v>
      </c>
      <c r="M27" s="172">
        <f ca="1">M26</f>
        <v>6317.3929390139911</v>
      </c>
      <c r="N27" s="172">
        <f ca="1">(SAR-SHR)*SHRT</f>
        <v>39175.571326715915</v>
      </c>
      <c r="O27" s="172">
        <v>0</v>
      </c>
      <c r="P27" s="172">
        <v>0</v>
      </c>
      <c r="Q27" s="173">
        <f t="shared" ca="1" si="0"/>
        <v>50991.864799083152</v>
      </c>
      <c r="T27" s="174"/>
      <c r="U27" s="175">
        <f ca="1">U26</f>
        <v>999.22002330232112</v>
      </c>
      <c r="V27" s="175">
        <f ca="1">V26</f>
        <v>4499.6805100509282</v>
      </c>
      <c r="W27" s="175">
        <f ca="1">W26</f>
        <v>6317.3929390139911</v>
      </c>
      <c r="X27" s="175">
        <f ca="1">(SAR-SHR)*SHRT</f>
        <v>39175.571326715915</v>
      </c>
      <c r="Y27" s="175">
        <v>0</v>
      </c>
      <c r="Z27" s="175">
        <v>0</v>
      </c>
      <c r="AA27" s="176">
        <f t="shared" ca="1" si="1"/>
        <v>50991.864799083152</v>
      </c>
    </row>
    <row r="28" spans="1:27" x14ac:dyDescent="0.35">
      <c r="A28" s="123" t="s">
        <v>74</v>
      </c>
      <c r="B28" s="141">
        <v>0.48</v>
      </c>
      <c r="D28" s="149"/>
      <c r="E28" s="163">
        <f ca="1">INDEX(P$22:P$29, MATCH(1, J$22:J$29, 0))</f>
        <v>0</v>
      </c>
      <c r="F28" s="164">
        <f ca="1">INDEX(Z$22:Z$29, MATCH(1, T$22:T$29, 0))</f>
        <v>0</v>
      </c>
      <c r="J28" s="171">
        <f ca="1">(E19&lt;SAR)*(SUM(J22:J27)=0)</f>
        <v>0</v>
      </c>
      <c r="K28" s="172">
        <f ca="1">K27</f>
        <v>999.22002330232112</v>
      </c>
      <c r="L28" s="172">
        <f ca="1">L27</f>
        <v>4499.6805100509282</v>
      </c>
      <c r="M28" s="172">
        <f ca="1">M27</f>
        <v>6317.3929390139911</v>
      </c>
      <c r="N28" s="172">
        <f ca="1">(SHR-SIR)*SHRT</f>
        <v>24485.122741057516</v>
      </c>
      <c r="O28" s="172">
        <f ca="1">(E19-SHR+U34)*Sart</f>
        <v>-62784.941795195475</v>
      </c>
      <c r="P28" s="172">
        <v>0</v>
      </c>
      <c r="Q28" s="173">
        <f t="shared" ca="1" si="0"/>
        <v>-26483.525581770715</v>
      </c>
      <c r="T28" s="174">
        <f ca="1">(F19&lt;SAR)*(SUM(T22:T27)=0)</f>
        <v>0</v>
      </c>
      <c r="U28" s="175">
        <f ca="1">U27</f>
        <v>999.22002330232112</v>
      </c>
      <c r="V28" s="175">
        <f ca="1">V27</f>
        <v>4499.6805100509282</v>
      </c>
      <c r="W28" s="175">
        <f ca="1">W27</f>
        <v>6317.3929390139911</v>
      </c>
      <c r="X28" s="175">
        <f ca="1">(SHR-SIR)*SHRT</f>
        <v>24485.122741057516</v>
      </c>
      <c r="Y28" s="175">
        <f ca="1">(F19-SHR+U34)*Sart</f>
        <v>-62784.941795195475</v>
      </c>
      <c r="Z28" s="175">
        <v>0</v>
      </c>
      <c r="AA28" s="176">
        <f t="shared" ca="1" si="1"/>
        <v>-26483.525581770715</v>
      </c>
    </row>
    <row r="29" spans="1:27" ht="21" x14ac:dyDescent="0.5">
      <c r="A29" s="144" t="s">
        <v>57</v>
      </c>
      <c r="B29" s="145"/>
      <c r="C29" s="146"/>
      <c r="D29" s="137"/>
      <c r="E29" s="163">
        <f ca="1">INDEX(Q$22:Q$29, MATCH(1, J$22:J$29, 0))</f>
        <v>0</v>
      </c>
      <c r="F29" s="164">
        <f ca="1">INDEX(AA$22:AA$29, MATCH(1, T$22:T$29, 0))</f>
        <v>0</v>
      </c>
      <c r="J29" s="171">
        <f ca="1">1-SUM(J22:J28)</f>
        <v>0</v>
      </c>
      <c r="K29" s="172">
        <f ca="1">K28</f>
        <v>999.22002330232112</v>
      </c>
      <c r="L29" s="172">
        <f ca="1">L28</f>
        <v>4499.6805100509282</v>
      </c>
      <c r="M29" s="172">
        <f ca="1">M28</f>
        <v>6317.3929390139911</v>
      </c>
      <c r="N29" s="172">
        <f ca="1">N28</f>
        <v>24485.122741057516</v>
      </c>
      <c r="O29" s="172">
        <f ca="1">(SAR-SHR+U34)*Sart</f>
        <v>41973.826421481339</v>
      </c>
      <c r="P29" s="172">
        <f ca="1">(E19-SAR)*STRT</f>
        <v>-111742.6860977886</v>
      </c>
      <c r="Q29" s="173">
        <f t="shared" ca="1" si="0"/>
        <v>-33467.443462882497</v>
      </c>
      <c r="T29" s="174">
        <f ca="1">1-SUM(T22:T28)</f>
        <v>0</v>
      </c>
      <c r="U29" s="175">
        <f ca="1">U28</f>
        <v>999.22002330232112</v>
      </c>
      <c r="V29" s="175">
        <f ca="1">V28</f>
        <v>4499.6805100509282</v>
      </c>
      <c r="W29" s="175">
        <f ca="1">W28</f>
        <v>6317.3929390139911</v>
      </c>
      <c r="X29" s="175">
        <f ca="1">X28</f>
        <v>24485.122741057516</v>
      </c>
      <c r="Y29" s="175">
        <f ca="1">(SAR-SHR+U34)*Sart</f>
        <v>41973.826421481339</v>
      </c>
      <c r="Z29" s="175">
        <f ca="1">(F19-SAR)*STRT</f>
        <v>-111742.6860977886</v>
      </c>
      <c r="AA29" s="176">
        <f t="shared" ca="1" si="1"/>
        <v>-33467.443462882497</v>
      </c>
    </row>
    <row r="30" spans="1:27" x14ac:dyDescent="0.35">
      <c r="A30" s="120"/>
      <c r="D30" s="149"/>
      <c r="E30" s="177"/>
      <c r="F30" s="178"/>
      <c r="J30" s="171"/>
      <c r="K30" s="171"/>
      <c r="L30" s="171"/>
      <c r="M30" s="171"/>
      <c r="N30" s="171"/>
      <c r="O30" s="171"/>
      <c r="P30" s="171"/>
      <c r="Q30" s="171"/>
      <c r="T30" s="174"/>
      <c r="U30" s="174"/>
      <c r="V30" s="174"/>
      <c r="W30" s="174"/>
      <c r="X30" s="174"/>
      <c r="Y30" s="174"/>
      <c r="Z30" s="174"/>
      <c r="AA30" s="174"/>
    </row>
    <row r="31" spans="1:27" ht="21" x14ac:dyDescent="0.5">
      <c r="A31" s="123" t="s">
        <v>60</v>
      </c>
      <c r="B31" s="124"/>
      <c r="C31" s="146"/>
      <c r="D31" s="137"/>
      <c r="E31" s="179">
        <f ca="1">IF($E$19&lt;=SPA,0%,IF($E$19&lt;=SSR,SSRT,IF($E$19&lt;=SBR,SBRT,IF($E$19&lt;=SIR,SIRT,IF($E$19&lt;=SHR,SHRT,IF($E$19&lt;=$C$27,Sart,STRT))))))</f>
        <v>0</v>
      </c>
      <c r="F31" s="180">
        <f ca="1">IF($F$19&lt;=SPA,0%,IF($F$19&lt;=SSR,SSRT,IF($F$19&lt;=SBR,SBRT,IF($F$19&lt;=SIR,SIRT,IF($F$19&lt;=SHR,SHRT,IF($F$19&lt;=SAR,Sart,STRT))))))</f>
        <v>0</v>
      </c>
      <c r="J31" s="171"/>
      <c r="K31" s="171"/>
      <c r="L31" s="171"/>
      <c r="M31" s="171"/>
      <c r="N31" s="171"/>
      <c r="O31" s="171"/>
      <c r="P31" s="171"/>
      <c r="Q31" s="171"/>
      <c r="T31" s="174"/>
      <c r="U31" s="174"/>
      <c r="V31" s="174"/>
      <c r="W31" s="174"/>
      <c r="X31" s="174"/>
      <c r="Y31" s="174"/>
      <c r="Z31" s="174"/>
      <c r="AA31" s="174"/>
    </row>
    <row r="32" spans="1:27" x14ac:dyDescent="0.35">
      <c r="A32" s="123" t="s">
        <v>62</v>
      </c>
      <c r="B32" s="124"/>
      <c r="C32" s="155"/>
      <c r="D32" s="137"/>
      <c r="E32" s="179">
        <f ca="1">IFERROR(E29/E19,0)</f>
        <v>0</v>
      </c>
      <c r="F32" s="180">
        <f ca="1">IFERROR(F29/F19,0)</f>
        <v>0</v>
      </c>
      <c r="J32" s="171"/>
      <c r="K32" s="171"/>
      <c r="L32" s="171"/>
      <c r="M32" s="171"/>
      <c r="N32" s="171"/>
      <c r="O32" s="171"/>
      <c r="P32" s="171"/>
      <c r="Q32" s="171"/>
      <c r="T32" s="174"/>
      <c r="U32" s="174"/>
      <c r="V32" s="174"/>
      <c r="W32" s="174"/>
      <c r="X32" s="174"/>
      <c r="Y32" s="174"/>
      <c r="Z32" s="174"/>
      <c r="AA32" s="174"/>
    </row>
    <row r="33" spans="1:27" x14ac:dyDescent="0.35">
      <c r="A33" s="120"/>
      <c r="C33" s="155"/>
      <c r="D33" s="137"/>
      <c r="F33" s="122"/>
      <c r="J33" s="171"/>
      <c r="K33" s="171"/>
      <c r="L33" s="171"/>
      <c r="M33" s="171"/>
      <c r="N33" s="171"/>
      <c r="O33" s="171"/>
      <c r="P33" s="171"/>
      <c r="Q33" s="171"/>
      <c r="T33" s="174"/>
      <c r="U33" s="174"/>
      <c r="V33" s="174"/>
      <c r="W33" s="174"/>
      <c r="X33" s="174"/>
      <c r="Y33" s="174"/>
      <c r="Z33" s="174"/>
      <c r="AA33" s="174"/>
    </row>
    <row r="34" spans="1:27" ht="16.2" thickBot="1" x14ac:dyDescent="0.4">
      <c r="A34" s="157" t="s">
        <v>64</v>
      </c>
      <c r="B34" s="158"/>
      <c r="C34" s="159">
        <v>100000</v>
      </c>
      <c r="D34" s="160">
        <f>C34*(1+Calcs!C32)^(ProjTerm+2025-2028)</f>
        <v>186029.45717094955</v>
      </c>
      <c r="E34" s="181"/>
      <c r="F34" s="182"/>
      <c r="I34" s="183" t="s">
        <v>78</v>
      </c>
      <c r="J34" s="171" t="b">
        <f ca="1">F19&gt;STAP</f>
        <v>0</v>
      </c>
      <c r="K34" s="184">
        <f ca="1">MAX(MIN((F19-STAP)/2,SPA),0)</f>
        <v>0</v>
      </c>
      <c r="L34" s="171"/>
      <c r="M34" s="171"/>
      <c r="N34" s="171"/>
      <c r="O34" s="171"/>
      <c r="P34" s="171"/>
      <c r="Q34" s="171"/>
      <c r="T34" s="174" t="b">
        <f ca="1">F19&gt;STAP</f>
        <v>0</v>
      </c>
      <c r="U34" s="185">
        <f ca="1">MAX(MIN((F19-STAP)/2,SPA),0)</f>
        <v>0</v>
      </c>
      <c r="V34" s="174"/>
      <c r="W34" s="174"/>
      <c r="X34" s="174"/>
      <c r="Y34" s="174"/>
      <c r="Z34" s="174"/>
      <c r="AA34" s="174"/>
    </row>
    <row r="35" spans="1:27" x14ac:dyDescent="0.35">
      <c r="A35" s="186" t="s">
        <v>79</v>
      </c>
    </row>
    <row r="36" spans="1:27" x14ac:dyDescent="0.35">
      <c r="A36" s="5" t="s">
        <v>80</v>
      </c>
      <c r="B36" s="5"/>
      <c r="C36" s="5"/>
      <c r="D36" s="5"/>
    </row>
    <row r="37" spans="1:27" x14ac:dyDescent="0.35">
      <c r="A37" s="5" t="s">
        <v>81</v>
      </c>
      <c r="B37" s="5"/>
      <c r="C37" s="5"/>
      <c r="D37" s="5"/>
    </row>
    <row r="38" spans="1:27" x14ac:dyDescent="0.35">
      <c r="A38" s="5" t="s">
        <v>82</v>
      </c>
      <c r="B38" s="5"/>
      <c r="C38" s="5"/>
      <c r="D38" s="5"/>
    </row>
    <row r="39" spans="1:27" x14ac:dyDescent="0.35">
      <c r="A39" s="5" t="s">
        <v>83</v>
      </c>
      <c r="B39" s="5"/>
      <c r="C39" s="5"/>
      <c r="D39" s="5"/>
    </row>
    <row r="40" spans="1:27" x14ac:dyDescent="0.35">
      <c r="A40" s="5" t="s">
        <v>84</v>
      </c>
      <c r="B40" s="5"/>
      <c r="C40" s="5"/>
      <c r="D40" s="5"/>
    </row>
    <row r="41" spans="1:27" x14ac:dyDescent="0.35">
      <c r="A41" s="5"/>
      <c r="B41" s="5"/>
      <c r="C41" s="5"/>
      <c r="D41" s="5"/>
    </row>
    <row r="42" spans="1:27" x14ac:dyDescent="0.35">
      <c r="A42" s="5" t="s">
        <v>85</v>
      </c>
      <c r="B42" s="5"/>
      <c r="C42" s="5"/>
      <c r="D42" s="5"/>
    </row>
    <row r="43" spans="1:27" x14ac:dyDescent="0.35">
      <c r="A43" s="5" t="s">
        <v>86</v>
      </c>
      <c r="B43" s="5"/>
      <c r="C43" s="187"/>
      <c r="D43" s="5"/>
    </row>
    <row r="44" spans="1:27" x14ac:dyDescent="0.35">
      <c r="A44" s="5" t="s">
        <v>87</v>
      </c>
      <c r="B44" s="5"/>
      <c r="C44" s="5"/>
      <c r="D44" s="5"/>
    </row>
    <row r="45" spans="1:27" x14ac:dyDescent="0.35">
      <c r="A45" s="5" t="s">
        <v>88</v>
      </c>
      <c r="B45" s="5"/>
      <c r="C45" s="5"/>
      <c r="D45" s="5"/>
    </row>
    <row r="46" spans="1:27" x14ac:dyDescent="0.35">
      <c r="A46" s="5" t="s">
        <v>89</v>
      </c>
      <c r="B46" s="5"/>
      <c r="C46" s="5"/>
      <c r="D46" s="5"/>
    </row>
    <row r="47" spans="1:27" x14ac:dyDescent="0.35">
      <c r="A47" s="5" t="s">
        <v>90</v>
      </c>
      <c r="B47" s="5"/>
      <c r="C47" s="5"/>
      <c r="D47" s="5"/>
    </row>
    <row r="48" spans="1:27" x14ac:dyDescent="0.35">
      <c r="A48" s="5" t="s">
        <v>91</v>
      </c>
      <c r="B48" s="5"/>
      <c r="C48" s="5"/>
      <c r="D48" s="5"/>
    </row>
    <row r="49" spans="1:4" x14ac:dyDescent="0.35">
      <c r="A49" s="5" t="s">
        <v>92</v>
      </c>
      <c r="B49" s="5"/>
      <c r="C49" s="5"/>
      <c r="D49" s="5"/>
    </row>
    <row r="50" spans="1:4" x14ac:dyDescent="0.35">
      <c r="A50" s="5" t="s">
        <v>93</v>
      </c>
      <c r="B50" s="5"/>
      <c r="C50" s="5"/>
      <c r="D50" s="5"/>
    </row>
    <row r="51" spans="1:4" x14ac:dyDescent="0.35">
      <c r="A51" s="5" t="s">
        <v>94</v>
      </c>
      <c r="B51" s="5"/>
      <c r="C51" s="5"/>
      <c r="D51" s="5"/>
    </row>
    <row r="52" spans="1:4" x14ac:dyDescent="0.35">
      <c r="A52" s="5" t="s">
        <v>95</v>
      </c>
      <c r="B52" s="5"/>
      <c r="C52" s="5"/>
      <c r="D52" s="5"/>
    </row>
    <row r="53" spans="1:4" x14ac:dyDescent="0.35">
      <c r="A53" s="5" t="s">
        <v>96</v>
      </c>
      <c r="B53" s="5"/>
      <c r="C53" s="5"/>
      <c r="D53" s="5"/>
    </row>
    <row r="54" spans="1:4" x14ac:dyDescent="0.35">
      <c r="A54" s="5" t="s">
        <v>97</v>
      </c>
      <c r="B54" s="5"/>
      <c r="C54" s="5"/>
      <c r="D54" s="5"/>
    </row>
    <row r="55" spans="1:4" x14ac:dyDescent="0.35">
      <c r="A55" s="5" t="s">
        <v>98</v>
      </c>
      <c r="B55" s="5"/>
      <c r="C55" s="5"/>
      <c r="D55" s="5"/>
    </row>
    <row r="56" spans="1:4" x14ac:dyDescent="0.35">
      <c r="A56" s="5" t="s">
        <v>99</v>
      </c>
      <c r="B56" s="5"/>
      <c r="C56" s="5"/>
      <c r="D56" s="5"/>
    </row>
    <row r="57" spans="1:4" x14ac:dyDescent="0.35">
      <c r="A57" s="5" t="s">
        <v>100</v>
      </c>
      <c r="B57" s="5"/>
      <c r="C57" s="5"/>
      <c r="D57" s="5"/>
    </row>
    <row r="58" spans="1:4" x14ac:dyDescent="0.35">
      <c r="A58" s="5" t="s">
        <v>101</v>
      </c>
      <c r="B58" s="5"/>
      <c r="C58" s="5"/>
      <c r="D58" s="5"/>
    </row>
    <row r="59" spans="1:4" x14ac:dyDescent="0.35">
      <c r="A59" s="5" t="s">
        <v>102</v>
      </c>
      <c r="B59" s="5"/>
      <c r="C59" s="5"/>
      <c r="D59" s="5"/>
    </row>
    <row r="60" spans="1:4" x14ac:dyDescent="0.35">
      <c r="A60" s="5" t="s">
        <v>103</v>
      </c>
      <c r="B60" s="5"/>
      <c r="C60" s="5"/>
      <c r="D60" s="5"/>
    </row>
    <row r="61" spans="1:4" x14ac:dyDescent="0.35">
      <c r="A61" s="5" t="s">
        <v>104</v>
      </c>
      <c r="B61" s="5"/>
      <c r="C61" s="5"/>
      <c r="D61" s="5"/>
    </row>
    <row r="62" spans="1:4" x14ac:dyDescent="0.35">
      <c r="A62" s="5" t="s">
        <v>105</v>
      </c>
      <c r="B62" s="5"/>
      <c r="C62" s="5"/>
      <c r="D62" s="5"/>
    </row>
    <row r="63" spans="1:4" x14ac:dyDescent="0.35">
      <c r="A63" s="5" t="s">
        <v>106</v>
      </c>
      <c r="B63" s="5"/>
      <c r="C63" s="5"/>
      <c r="D63" s="5"/>
    </row>
    <row r="64" spans="1:4" x14ac:dyDescent="0.35">
      <c r="A64" s="5" t="s">
        <v>107</v>
      </c>
      <c r="B64" s="5"/>
      <c r="C64" s="5"/>
      <c r="D64" s="5"/>
    </row>
    <row r="65" spans="1:4" x14ac:dyDescent="0.35">
      <c r="A65" s="5" t="s">
        <v>108</v>
      </c>
      <c r="B65" s="5"/>
      <c r="C65" s="5"/>
      <c r="D65" s="5"/>
    </row>
    <row r="66" spans="1:4" x14ac:dyDescent="0.35">
      <c r="A66" s="5" t="s">
        <v>109</v>
      </c>
      <c r="B66" s="5"/>
      <c r="C66" s="5"/>
      <c r="D66" s="5"/>
    </row>
    <row r="67" spans="1:4" x14ac:dyDescent="0.35">
      <c r="A67" s="5" t="s">
        <v>95</v>
      </c>
      <c r="B67" s="5"/>
      <c r="C67" s="5"/>
      <c r="D67" s="5"/>
    </row>
    <row r="68" spans="1:4" x14ac:dyDescent="0.35">
      <c r="A68" s="5" t="s">
        <v>110</v>
      </c>
      <c r="B68" s="5"/>
      <c r="C68" s="5"/>
      <c r="D68" s="5"/>
    </row>
    <row r="69" spans="1:4" x14ac:dyDescent="0.35">
      <c r="A69" s="5" t="s">
        <v>111</v>
      </c>
      <c r="B69" s="5"/>
      <c r="C69" s="5"/>
      <c r="D69" s="5"/>
    </row>
    <row r="70" spans="1:4" x14ac:dyDescent="0.35">
      <c r="A70" s="5" t="s">
        <v>111</v>
      </c>
      <c r="B70" s="5"/>
      <c r="C70" s="5"/>
      <c r="D70" s="5"/>
    </row>
    <row r="71" spans="1:4" x14ac:dyDescent="0.35">
      <c r="A71" s="5" t="s">
        <v>112</v>
      </c>
      <c r="B71" s="5"/>
      <c r="C71" s="5"/>
      <c r="D71" s="5"/>
    </row>
    <row r="72" spans="1:4" x14ac:dyDescent="0.35">
      <c r="A72" s="5" t="s">
        <v>113</v>
      </c>
      <c r="B72" s="5"/>
      <c r="C72" s="5"/>
      <c r="D72" s="5"/>
    </row>
    <row r="73" spans="1:4" x14ac:dyDescent="0.35">
      <c r="A73" s="5" t="s">
        <v>114</v>
      </c>
      <c r="B73" s="5"/>
      <c r="C73" s="5"/>
      <c r="D73" s="5"/>
    </row>
  </sheetData>
  <hyperlinks>
    <hyperlink ref="I12" r:id="rId1" display="https://taxscouts.com/calculator/income-tax/" xr:uid="{3500272A-3D66-4364-AEBB-AD2AC6A8D7DD}"/>
    <hyperlink ref="I13" r:id="rId2" display="https://www.tax.service.gov.uk/estimate-paye-take-home-pay/your-results?csrfToken=8eb8aa79808c82e7cf584b5076032773a210067a-1755623604730-9d33753a017217ea28c02353" xr:uid="{C3F9C343-13C8-43DB-BFFA-2FB96B8DA346}"/>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F690C-7AF5-4338-9328-B05A64CDC38B}">
  <sheetPr codeName="Sheet1"/>
  <dimension ref="A1:AK63"/>
  <sheetViews>
    <sheetView workbookViewId="0">
      <selection activeCell="L20" sqref="L20"/>
    </sheetView>
  </sheetViews>
  <sheetFormatPr defaultColWidth="9.109375" defaultRowHeight="14.4" x14ac:dyDescent="0.3"/>
  <cols>
    <col min="1" max="1" width="21.109375" style="5" customWidth="1"/>
    <col min="2" max="2" width="12.5546875" style="5" customWidth="1"/>
    <col min="3" max="4" width="9.109375" style="5"/>
    <col min="5" max="6" width="11.5546875" style="5" customWidth="1"/>
    <col min="7" max="14" width="9.109375" style="5"/>
    <col min="15" max="15" width="24.33203125" style="5" customWidth="1"/>
    <col min="16" max="16" width="34.109375" style="5" customWidth="1"/>
    <col min="17" max="17" width="25.6640625" style="5" customWidth="1"/>
    <col min="18" max="21" width="9.109375" style="5"/>
    <col min="22" max="22" width="9.88671875" style="5" bestFit="1" customWidth="1"/>
    <col min="23" max="26" width="9.109375" style="5"/>
    <col min="27" max="27" width="9" style="5" bestFit="1" customWidth="1"/>
    <col min="28" max="28" width="9" style="5" customWidth="1"/>
    <col min="29" max="29" width="14" style="5" customWidth="1"/>
    <col min="30" max="30" width="11.44140625" style="5" customWidth="1"/>
    <col min="31" max="31" width="11.6640625" style="5" bestFit="1" customWidth="1"/>
    <col min="32" max="32" width="11.44140625" style="5" customWidth="1"/>
    <col min="33" max="33" width="16.6640625" style="5" customWidth="1"/>
    <col min="34" max="36" width="14.44140625" style="5" customWidth="1"/>
    <col min="37" max="37" width="9.88671875" style="5" customWidth="1"/>
    <col min="38" max="39" width="9.109375" style="5"/>
    <col min="40" max="40" width="12.6640625" style="5" bestFit="1" customWidth="1"/>
    <col min="41" max="16384" width="9.109375" style="5"/>
  </cols>
  <sheetData>
    <row r="1" spans="1:37" x14ac:dyDescent="0.3">
      <c r="A1" s="203" t="s">
        <v>115</v>
      </c>
      <c r="O1" s="204" t="s">
        <v>116</v>
      </c>
      <c r="P1" s="205"/>
      <c r="U1" s="204"/>
      <c r="V1" s="206" t="s">
        <v>117</v>
      </c>
      <c r="W1" s="206" t="s">
        <v>118</v>
      </c>
      <c r="X1" s="206" t="s">
        <v>119</v>
      </c>
      <c r="AB1" s="204" t="s">
        <v>120</v>
      </c>
      <c r="AC1" s="204"/>
      <c r="AD1" s="204"/>
      <c r="AE1" s="204"/>
      <c r="AF1" s="204"/>
    </row>
    <row r="2" spans="1:37" x14ac:dyDescent="0.3">
      <c r="A2" s="199" t="s">
        <v>121</v>
      </c>
      <c r="B2" s="207">
        <v>0</v>
      </c>
      <c r="C2" s="208">
        <f>B2+0.5%</f>
        <v>5.0000000000000001E-3</v>
      </c>
      <c r="D2" s="208">
        <f t="shared" ref="D2:L2" si="0">C2+0.5%</f>
        <v>0.01</v>
      </c>
      <c r="E2" s="208">
        <f t="shared" si="0"/>
        <v>1.4999999999999999E-2</v>
      </c>
      <c r="F2" s="208">
        <f t="shared" si="0"/>
        <v>0.02</v>
      </c>
      <c r="G2" s="208">
        <f t="shared" si="0"/>
        <v>2.5000000000000001E-2</v>
      </c>
      <c r="H2" s="208">
        <f t="shared" si="0"/>
        <v>3.0000000000000002E-2</v>
      </c>
      <c r="I2" s="208">
        <f t="shared" si="0"/>
        <v>3.5000000000000003E-2</v>
      </c>
      <c r="J2" s="208">
        <f t="shared" si="0"/>
        <v>0.04</v>
      </c>
      <c r="K2" s="208">
        <f t="shared" si="0"/>
        <v>4.4999999999999998E-2</v>
      </c>
      <c r="L2" s="208">
        <f t="shared" si="0"/>
        <v>4.9999999999999996E-2</v>
      </c>
      <c r="M2" s="208" t="s">
        <v>122</v>
      </c>
      <c r="N2" s="209"/>
      <c r="O2" s="210" t="str">
        <f ca="1">Calcs!I12</f>
        <v>Scenario in 2049</v>
      </c>
      <c r="P2" s="211" t="str">
        <f>Calcs!J11</f>
        <v>Leave PCLS in pension</v>
      </c>
      <c r="Q2" s="211" t="str">
        <f>Calcs!K11</f>
        <v>Move PCLS into trust</v>
      </c>
      <c r="U2" s="204" t="s">
        <v>123</v>
      </c>
      <c r="V2" s="206"/>
      <c r="W2" s="206">
        <f ca="1">YEAR+ProjTerm</f>
        <v>2049</v>
      </c>
      <c r="X2" s="206">
        <f ca="1">YEAR+ProjTerm</f>
        <v>2049</v>
      </c>
      <c r="AC2" s="212" t="s">
        <v>190</v>
      </c>
      <c r="AD2" s="212"/>
      <c r="AE2" s="212"/>
      <c r="AF2" s="212"/>
      <c r="AG2" s="282" t="str">
        <f>"Leave PCLS in pension"&amp;IF(OR(L1WD&gt;0,AND(L2WD&gt;0,SingJt="J"))," &amp; take withdrawals","")</f>
        <v>Leave PCLS in pension</v>
      </c>
      <c r="AH2" s="282" t="str">
        <f>"Leave PCLS in pension"&amp;IF(OR(L1WD&gt;0,AND(L2WD&gt;0,SingJt="J"))," &amp; take withdrawals","")</f>
        <v>Leave PCLS in pension</v>
      </c>
      <c r="AI2" s="284" t="str">
        <f>"Move PCLS into trust "&amp;IF(OR(L1WD&gt;0,AND(L2WD&gt;0,SingJt="J"))," &amp; take withdrawals","")</f>
        <v xml:space="preserve">Move PCLS into trust </v>
      </c>
      <c r="AJ2" s="284" t="str">
        <f>"Move PCLS into trust "&amp;IF(OR(L1WD&gt;0,AND(L2WD&gt;0,SingJt="J"))," &amp; take withdrawals","")</f>
        <v xml:space="preserve">Move PCLS into trust </v>
      </c>
    </row>
    <row r="3" spans="1:37" x14ac:dyDescent="0.3">
      <c r="A3" s="199" t="s">
        <v>124</v>
      </c>
      <c r="B3" s="213" t="s">
        <v>6</v>
      </c>
      <c r="C3" s="213" t="s">
        <v>125</v>
      </c>
      <c r="D3" s="213" t="s">
        <v>126</v>
      </c>
      <c r="O3" s="214" t="str">
        <f ca="1">Calcs!I13</f>
        <v>House value 2049</v>
      </c>
      <c r="P3" s="215">
        <f>Calcs!J13/1000</f>
        <v>0</v>
      </c>
      <c r="Q3" s="215">
        <f>Calcs!K13/1000</f>
        <v>0</v>
      </c>
      <c r="U3" s="204" t="s">
        <v>127</v>
      </c>
      <c r="V3" s="216">
        <f>SUM(Calcs!C19:C26)-IF(Calcs!C13="S",Calcs!C26,0)</f>
        <v>0</v>
      </c>
      <c r="W3" s="217">
        <f ca="1">P10</f>
        <v>0</v>
      </c>
      <c r="X3" s="217">
        <f ca="1">Q10</f>
        <v>0</v>
      </c>
      <c r="AA3" s="199"/>
      <c r="AB3" s="199"/>
      <c r="AC3" s="199"/>
      <c r="AD3" s="199"/>
      <c r="AE3" s="199"/>
      <c r="AF3" s="199"/>
      <c r="AG3" s="283"/>
      <c r="AH3" s="283"/>
      <c r="AI3" s="285"/>
      <c r="AJ3" s="285"/>
      <c r="AK3" s="199"/>
    </row>
    <row r="4" spans="1:37" x14ac:dyDescent="0.3">
      <c r="A4" s="199" t="s">
        <v>128</v>
      </c>
      <c r="F4" s="199" t="s">
        <v>129</v>
      </c>
      <c r="G4" s="199"/>
      <c r="O4" s="214" t="str">
        <f ca="1">"All Other Assets"&amp;(YEAR+ProjTerm)</f>
        <v>All Other Assets2049</v>
      </c>
      <c r="P4" s="215">
        <f>(Calcs!J14+Calcs!J15+Calcs!J16)/1000</f>
        <v>0</v>
      </c>
      <c r="Q4" s="215">
        <f>(Calcs!K14+Calcs!K15+Calcs!K16)/1000</f>
        <v>0</v>
      </c>
      <c r="U4" s="199"/>
      <c r="V4" s="218"/>
      <c r="W4" s="218"/>
      <c r="X4" s="218"/>
      <c r="AA4" s="199"/>
      <c r="AB4" s="199"/>
      <c r="AC4" s="199"/>
      <c r="AD4" s="199"/>
      <c r="AE4" s="199" t="s">
        <v>130</v>
      </c>
      <c r="AF4" s="199" t="s">
        <v>131</v>
      </c>
      <c r="AG4" s="218" t="s">
        <v>132</v>
      </c>
      <c r="AH4" s="218" t="s">
        <v>133</v>
      </c>
      <c r="AI4" s="218" t="s">
        <v>132</v>
      </c>
      <c r="AJ4" s="218" t="s">
        <v>133</v>
      </c>
      <c r="AK4" s="218" t="s">
        <v>134</v>
      </c>
    </row>
    <row r="5" spans="1:37" x14ac:dyDescent="0.3">
      <c r="A5" s="199" t="s">
        <v>135</v>
      </c>
      <c r="B5" s="213" t="s">
        <v>36</v>
      </c>
      <c r="C5" s="213" t="s">
        <v>28</v>
      </c>
      <c r="F5" s="219">
        <v>0</v>
      </c>
      <c r="O5" s="214" t="str">
        <f ca="1">Calcs!I17</f>
        <v>Life 1 total DC pension 2049</v>
      </c>
      <c r="P5" s="215">
        <f>Calcs!J17/1000</f>
        <v>0</v>
      </c>
      <c r="Q5" s="215">
        <f>Calcs!K17/1000</f>
        <v>0</v>
      </c>
      <c r="AA5" s="199" t="s">
        <v>136</v>
      </c>
      <c r="AB5" s="199"/>
      <c r="AC5" s="199"/>
      <c r="AD5" s="199"/>
      <c r="AE5" s="220">
        <f>L1WD</f>
        <v>0</v>
      </c>
      <c r="AF5" s="220">
        <f>L2WD</f>
        <v>10000</v>
      </c>
      <c r="AG5" s="218"/>
      <c r="AH5" s="218"/>
      <c r="AI5" s="218"/>
      <c r="AJ5" s="218"/>
      <c r="AK5" s="218"/>
    </row>
    <row r="6" spans="1:37" x14ac:dyDescent="0.3">
      <c r="A6" s="199" t="s">
        <v>137</v>
      </c>
      <c r="B6" s="213" t="s">
        <v>138</v>
      </c>
      <c r="C6" s="213" t="s">
        <v>11</v>
      </c>
      <c r="F6" s="219">
        <v>1</v>
      </c>
      <c r="O6" s="214" t="str">
        <f>IF(Calcs!C13="S","",Calcs!I18)</f>
        <v/>
      </c>
      <c r="P6" s="215" t="str">
        <f>IF(O6="","",Calcs!J18/1000)</f>
        <v/>
      </c>
      <c r="Q6" s="215" t="str">
        <f>IF(O6="","",Calcs!K18/1000)</f>
        <v/>
      </c>
      <c r="AA6" s="149">
        <v>0</v>
      </c>
      <c r="AB6" s="149">
        <f ca="1">YEAR</f>
        <v>2025</v>
      </c>
      <c r="AC6" s="221"/>
      <c r="AD6" s="221"/>
      <c r="AE6" s="222">
        <f>-L1WD*(L1Delay=0)</f>
        <v>0</v>
      </c>
      <c r="AF6" s="222">
        <f>-L2WD*(L2Delay=0)*(SingJt="J")</f>
        <v>0</v>
      </c>
      <c r="AG6" s="221">
        <f>MAX(Calcs!C25+AE6,0)</f>
        <v>0</v>
      </c>
      <c r="AH6" s="221">
        <f>MAX(Calcs!C26+AF6,0)*(SingJt="J")</f>
        <v>0</v>
      </c>
      <c r="AI6" s="221">
        <f>MAX(Calcs!C25-L1PCLS+AE6,0)</f>
        <v>0</v>
      </c>
      <c r="AJ6" s="221">
        <f>MAX(Calcs!C26-L2PCLS+AF6,0)*(SingJt="J")</f>
        <v>0</v>
      </c>
      <c r="AK6" s="222">
        <f>(Calcs!F15+IF(Calcs!C13="J",Calcs!F16,0))</f>
        <v>0</v>
      </c>
    </row>
    <row r="7" spans="1:37" x14ac:dyDescent="0.3">
      <c r="F7" s="219">
        <v>2</v>
      </c>
      <c r="O7" s="214" t="str">
        <f ca="1">Calcs!I25</f>
        <v>All assets within trust 2049 (without/with additional PCLS money)</v>
      </c>
      <c r="P7" s="215">
        <f>Calcs!J25/1000</f>
        <v>0</v>
      </c>
      <c r="Q7" s="215">
        <f>Calcs!K25/1000</f>
        <v>0</v>
      </c>
      <c r="AA7" s="149">
        <f>AA6+1</f>
        <v>1</v>
      </c>
      <c r="AB7" s="149">
        <f ca="1">AB6+1</f>
        <v>2026</v>
      </c>
      <c r="AC7" s="150"/>
      <c r="AD7" s="150"/>
      <c r="AE7" s="222" cm="1">
        <f t="array" ref="AE7">-L1WD*((1+L1INCP)^(AA7-L1Delay))*(AA7&lt;ProjTerm)*(AA7&gt;=L1Delay)</f>
        <v>0</v>
      </c>
      <c r="AF7" s="222" cm="1">
        <f t="array" ref="AF7">-L2WD*((1+L2INCP)^(AA7-L2Delay))*(AA7&lt;ProjTerm)*(AA7&gt;=L2Delay)*(SingJt="J")</f>
        <v>0</v>
      </c>
      <c r="AG7" s="221">
        <f>MAX(AG6*(1+GrsGrth)+Working!AE7,0)</f>
        <v>0</v>
      </c>
      <c r="AH7" s="221">
        <f>MAX(AH6*(1+GrsGrth)+Working!AF7,0)</f>
        <v>0</v>
      </c>
      <c r="AI7" s="221">
        <f>MAX(AI6*(1+GrsGrth)+Working!AE7,0)</f>
        <v>0</v>
      </c>
      <c r="AJ7" s="221">
        <f>MAX(AJ6*(1+GrsGrth)+Working!AF7,0)</f>
        <v>0</v>
      </c>
      <c r="AK7" s="222">
        <f t="shared" ref="AK7:AK38" si="1">AK6*(1+NetGrth)</f>
        <v>0</v>
      </c>
    </row>
    <row r="8" spans="1:37" x14ac:dyDescent="0.3">
      <c r="F8" s="219">
        <v>3</v>
      </c>
      <c r="O8" s="214" t="s">
        <v>139</v>
      </c>
      <c r="P8" s="215">
        <f ca="1">-Calcs!J24/1000</f>
        <v>0</v>
      </c>
      <c r="Q8" s="215">
        <f ca="1">-Calcs!K24/1000</f>
        <v>0</v>
      </c>
      <c r="AA8" s="149">
        <f t="shared" ref="AA8:AA61" si="2">AA7+1</f>
        <v>2</v>
      </c>
      <c r="AB8" s="149">
        <f t="shared" ref="AB8:AB61" ca="1" si="3">AB7+1</f>
        <v>2027</v>
      </c>
      <c r="AC8" s="150"/>
      <c r="AD8" s="150"/>
      <c r="AE8" s="222" cm="1">
        <f t="array" ref="AE8">-L1WD*((1+L1INCP)^(AA8-L1Delay))*(AA8&lt;ProjTerm)*(AA8&gt;=L1Delay)</f>
        <v>0</v>
      </c>
      <c r="AF8" s="222" cm="1">
        <f t="array" ref="AF8">-L2WD*((1+L2INCP)^(AA8-L2Delay))*(AA8&lt;ProjTerm)*(AA8&gt;=L2Delay)*(SingJt="J")</f>
        <v>0</v>
      </c>
      <c r="AG8" s="221">
        <f>MAX(AG7*(1+GrsGrth)+Working!AE8,0)</f>
        <v>0</v>
      </c>
      <c r="AH8" s="221">
        <f>MAX(AH7*(1+GrsGrth)+Working!AF8,0)</f>
        <v>0</v>
      </c>
      <c r="AI8" s="221">
        <f>MAX(AI7*(1+GrsGrth)+Working!AE8,0)</f>
        <v>0</v>
      </c>
      <c r="AJ8" s="221">
        <f>MAX(AJ7*(1+GrsGrth)+Working!AF8,0)</f>
        <v>0</v>
      </c>
      <c r="AK8" s="222">
        <f t="shared" si="1"/>
        <v>0</v>
      </c>
    </row>
    <row r="9" spans="1:37" x14ac:dyDescent="0.3">
      <c r="A9" s="219" t="s">
        <v>140</v>
      </c>
      <c r="F9" s="219">
        <v>4</v>
      </c>
      <c r="G9" s="199" t="s">
        <v>141</v>
      </c>
      <c r="O9" s="199" t="str">
        <f>Calcs!I34</f>
        <v>Pension beneficiary income tax payable</v>
      </c>
      <c r="P9" s="215">
        <f ca="1">-Calcs!J34/1000</f>
        <v>0</v>
      </c>
      <c r="Q9" s="215">
        <f ca="1">-Calcs!K34/1000</f>
        <v>0</v>
      </c>
      <c r="AA9" s="149">
        <f t="shared" si="2"/>
        <v>3</v>
      </c>
      <c r="AB9" s="149">
        <f t="shared" ca="1" si="3"/>
        <v>2028</v>
      </c>
      <c r="AC9" s="150"/>
      <c r="AD9" s="150"/>
      <c r="AE9" s="222" cm="1">
        <f t="array" ref="AE9">-L1WD*((1+L1INCP)^(AA9-L1Delay))*(AA9&lt;ProjTerm)*(AA9&gt;=L1Delay)</f>
        <v>0</v>
      </c>
      <c r="AF9" s="222" cm="1">
        <f t="array" ref="AF9">-L2WD*((1+L2INCP)^(AA9-L2Delay))*(AA9&lt;ProjTerm)*(AA9&gt;=L2Delay)*(SingJt="J")</f>
        <v>0</v>
      </c>
      <c r="AG9" s="221">
        <f>MAX(AG8*(1+GrsGrth)+Working!AE9,0)</f>
        <v>0</v>
      </c>
      <c r="AH9" s="221">
        <f>MAX(AH8*(1+GrsGrth)+Working!AF9,0)</f>
        <v>0</v>
      </c>
      <c r="AI9" s="221">
        <f>MAX(AI8*(1+GrsGrth)+Working!AE9,0)</f>
        <v>0</v>
      </c>
      <c r="AJ9" s="221">
        <f>MAX(AJ8*(1+GrsGrth)+Working!AF9,0)</f>
        <v>0</v>
      </c>
      <c r="AK9" s="222">
        <f t="shared" si="1"/>
        <v>0</v>
      </c>
    </row>
    <row r="10" spans="1:37" x14ac:dyDescent="0.3">
      <c r="A10" s="199" t="s">
        <v>142</v>
      </c>
      <c r="B10" s="223">
        <v>175000</v>
      </c>
      <c r="F10" s="219">
        <v>5</v>
      </c>
      <c r="G10" s="219">
        <v>2030</v>
      </c>
      <c r="O10" s="199" t="str">
        <f>Calcs!I35</f>
        <v>Final net estate - legacy boost</v>
      </c>
      <c r="P10" s="215">
        <f ca="1">Calcs!J35/1000</f>
        <v>0</v>
      </c>
      <c r="Q10" s="215">
        <f ca="1">Calcs!K35/1000</f>
        <v>0</v>
      </c>
      <c r="AA10" s="149">
        <f t="shared" si="2"/>
        <v>4</v>
      </c>
      <c r="AB10" s="149">
        <f t="shared" ca="1" si="3"/>
        <v>2029</v>
      </c>
      <c r="AC10" s="150"/>
      <c r="AD10" s="150"/>
      <c r="AE10" s="222" cm="1">
        <f t="array" ref="AE10">-L1WD*((1+L1INCP)^(AA10-L1Delay))*(AA10&lt;ProjTerm)*(AA10&gt;=L1Delay)</f>
        <v>0</v>
      </c>
      <c r="AF10" s="222" cm="1">
        <f t="array" ref="AF10">-L2WD*((1+L2INCP)^(AA10-L2Delay))*(AA10&lt;ProjTerm)*(AA10&gt;=L2Delay)*(SingJt="J")</f>
        <v>0</v>
      </c>
      <c r="AG10" s="221">
        <f>MAX(AG9*(1+GrsGrth)+Working!AE10,0)</f>
        <v>0</v>
      </c>
      <c r="AH10" s="221">
        <f>MAX(AH9*(1+GrsGrth)+Working!AF10,0)</f>
        <v>0</v>
      </c>
      <c r="AI10" s="221">
        <f>MAX(AI9*(1+GrsGrth)+Working!AE10,0)</f>
        <v>0</v>
      </c>
      <c r="AJ10" s="221">
        <f>MAX(AJ9*(1+GrsGrth)+Working!AF10,0)</f>
        <v>0</v>
      </c>
      <c r="AK10" s="222">
        <f t="shared" si="1"/>
        <v>0</v>
      </c>
    </row>
    <row r="11" spans="1:37" x14ac:dyDescent="0.3">
      <c r="A11" s="199" t="s">
        <v>55</v>
      </c>
      <c r="B11" s="141">
        <v>0.4</v>
      </c>
      <c r="F11" s="219">
        <v>6</v>
      </c>
      <c r="G11" s="219">
        <f>G10+1</f>
        <v>2031</v>
      </c>
      <c r="AA11" s="149">
        <f t="shared" si="2"/>
        <v>5</v>
      </c>
      <c r="AB11" s="149">
        <f t="shared" ca="1" si="3"/>
        <v>2030</v>
      </c>
      <c r="AC11" s="150"/>
      <c r="AD11" s="150"/>
      <c r="AE11" s="222" cm="1">
        <f t="array" ref="AE11">-L1WD*((1+L1INCP)^(AA11-L1Delay))*(AA11&lt;ProjTerm)*(AA11&gt;=L1Delay)</f>
        <v>0</v>
      </c>
      <c r="AF11" s="222" cm="1">
        <f t="array" ref="AF11">-L2WD*((1+L2INCP)^(AA11-L2Delay))*(AA11&lt;ProjTerm)*(AA11&gt;=L2Delay)*(SingJt="J")</f>
        <v>0</v>
      </c>
      <c r="AG11" s="221">
        <f>MAX(AG10*(1+GrsGrth)+Working!AE11,0)</f>
        <v>0</v>
      </c>
      <c r="AH11" s="221">
        <f>MAX(AH10*(1+GrsGrth)+Working!AF11,0)</f>
        <v>0</v>
      </c>
      <c r="AI11" s="221">
        <f>MAX(AI10*(1+GrsGrth)+Working!AE11,0)</f>
        <v>0</v>
      </c>
      <c r="AJ11" s="221">
        <f>MAX(AJ10*(1+GrsGrth)+Working!AF11,0)</f>
        <v>0</v>
      </c>
      <c r="AK11" s="222">
        <f t="shared" si="1"/>
        <v>0</v>
      </c>
    </row>
    <row r="12" spans="1:37" x14ac:dyDescent="0.3">
      <c r="A12" s="199" t="s">
        <v>48</v>
      </c>
      <c r="B12" s="223">
        <v>325000</v>
      </c>
      <c r="F12" s="219">
        <v>7</v>
      </c>
      <c r="G12" s="219">
        <f t="shared" ref="G12:G25" si="4">G11+1</f>
        <v>2032</v>
      </c>
      <c r="P12" s="224"/>
      <c r="Q12" s="224"/>
      <c r="AA12" s="149">
        <f t="shared" si="2"/>
        <v>6</v>
      </c>
      <c r="AB12" s="149">
        <f t="shared" ca="1" si="3"/>
        <v>2031</v>
      </c>
      <c r="AC12" s="150"/>
      <c r="AD12" s="150"/>
      <c r="AE12" s="222" cm="1">
        <f t="array" ref="AE12">-L1WD*((1+L1INCP)^(AA12-L1Delay))*(AA12&lt;ProjTerm)*(AA12&gt;=L1Delay)</f>
        <v>0</v>
      </c>
      <c r="AF12" s="222" cm="1">
        <f t="array" ref="AF12">-L2WD*((1+L2INCP)^(AA12-L2Delay))*(AA12&lt;ProjTerm)*(AA12&gt;=L2Delay)*(SingJt="J")</f>
        <v>0</v>
      </c>
      <c r="AG12" s="221">
        <f>MAX(AG11*(1+GrsGrth)+Working!AE12,0)</f>
        <v>0</v>
      </c>
      <c r="AH12" s="221">
        <f>MAX(AH11*(1+GrsGrth)+Working!AF12,0)</f>
        <v>0</v>
      </c>
      <c r="AI12" s="221">
        <f>MAX(AI11*(1+GrsGrth)+Working!AE12,0)</f>
        <v>0</v>
      </c>
      <c r="AJ12" s="221">
        <f>MAX(AJ11*(1+GrsGrth)+Working!AF12,0)</f>
        <v>0</v>
      </c>
      <c r="AK12" s="222">
        <f t="shared" si="1"/>
        <v>0</v>
      </c>
    </row>
    <row r="13" spans="1:37" x14ac:dyDescent="0.3">
      <c r="A13" s="199" t="s">
        <v>143</v>
      </c>
      <c r="B13" s="223">
        <v>2000000</v>
      </c>
      <c r="F13" s="219">
        <v>8</v>
      </c>
      <c r="G13" s="219">
        <f t="shared" si="4"/>
        <v>2033</v>
      </c>
      <c r="P13" s="225"/>
      <c r="Q13" s="225"/>
      <c r="AA13" s="149">
        <f t="shared" si="2"/>
        <v>7</v>
      </c>
      <c r="AB13" s="149">
        <f t="shared" ca="1" si="3"/>
        <v>2032</v>
      </c>
      <c r="AC13" s="150"/>
      <c r="AD13" s="150"/>
      <c r="AE13" s="222" cm="1">
        <f t="array" ref="AE13">-L1WD*((1+L1INCP)^(AA13-L1Delay))*(AA13&lt;ProjTerm)*(AA13&gt;=L1Delay)</f>
        <v>0</v>
      </c>
      <c r="AF13" s="222" cm="1">
        <f t="array" ref="AF13">-L2WD*((1+L2INCP)^(AA13-L2Delay))*(AA13&lt;ProjTerm)*(AA13&gt;=L2Delay)*(SingJt="J")</f>
        <v>0</v>
      </c>
      <c r="AG13" s="221">
        <f>MAX(AG12*(1+GrsGrth)+Working!AE13,0)</f>
        <v>0</v>
      </c>
      <c r="AH13" s="221">
        <f>MAX(AH12*(1+GrsGrth)+Working!AF13,0)</f>
        <v>0</v>
      </c>
      <c r="AI13" s="221">
        <f>MAX(AI12*(1+GrsGrth)+Working!AE13,0)</f>
        <v>0</v>
      </c>
      <c r="AJ13" s="221">
        <f>MAX(AJ12*(1+GrsGrth)+Working!AF13,0)</f>
        <v>0</v>
      </c>
      <c r="AK13" s="222">
        <f t="shared" si="1"/>
        <v>0</v>
      </c>
    </row>
    <row r="14" spans="1:37" x14ac:dyDescent="0.3">
      <c r="B14" s="219"/>
      <c r="F14" s="219">
        <v>9</v>
      </c>
      <c r="G14" s="219">
        <f t="shared" si="4"/>
        <v>2034</v>
      </c>
      <c r="AA14" s="149">
        <f t="shared" si="2"/>
        <v>8</v>
      </c>
      <c r="AB14" s="149">
        <f t="shared" ca="1" si="3"/>
        <v>2033</v>
      </c>
      <c r="AC14" s="150"/>
      <c r="AD14" s="150"/>
      <c r="AE14" s="222" cm="1">
        <f t="array" ref="AE14">-L1WD*((1+L1INCP)^(AA14-L1Delay))*(AA14&lt;ProjTerm)*(AA14&gt;=L1Delay)</f>
        <v>0</v>
      </c>
      <c r="AF14" s="222" cm="1">
        <f t="array" ref="AF14">-L2WD*((1+L2INCP)^(AA14-L2Delay))*(AA14&lt;ProjTerm)*(AA14&gt;=L2Delay)*(SingJt="J")</f>
        <v>0</v>
      </c>
      <c r="AG14" s="221">
        <f>MAX(AG13*(1+GrsGrth)+Working!AE14,0)</f>
        <v>0</v>
      </c>
      <c r="AH14" s="221">
        <f>MAX(AH13*(1+GrsGrth)+Working!AF14,0)</f>
        <v>0</v>
      </c>
      <c r="AI14" s="221">
        <f>MAX(AI13*(1+GrsGrth)+Working!AE14,0)</f>
        <v>0</v>
      </c>
      <c r="AJ14" s="221">
        <f>MAX(AJ13*(1+GrsGrth)+Working!AF14,0)</f>
        <v>0</v>
      </c>
      <c r="AK14" s="222">
        <f t="shared" si="1"/>
        <v>0</v>
      </c>
    </row>
    <row r="15" spans="1:37" x14ac:dyDescent="0.3">
      <c r="A15" s="151" t="s">
        <v>144</v>
      </c>
      <c r="F15" s="219">
        <v>10</v>
      </c>
      <c r="G15" s="219">
        <f t="shared" si="4"/>
        <v>2035</v>
      </c>
      <c r="P15" s="225"/>
      <c r="Q15" s="225"/>
      <c r="AA15" s="149">
        <f t="shared" si="2"/>
        <v>9</v>
      </c>
      <c r="AB15" s="149">
        <f t="shared" ca="1" si="3"/>
        <v>2034</v>
      </c>
      <c r="AC15" s="150"/>
      <c r="AD15" s="150"/>
      <c r="AE15" s="222" cm="1">
        <f t="array" ref="AE15">-L1WD*((1+L1INCP)^(AA15-L1Delay))*(AA15&lt;ProjTerm)*(AA15&gt;=L1Delay)</f>
        <v>0</v>
      </c>
      <c r="AF15" s="222" cm="1">
        <f t="array" ref="AF15">-L2WD*((1+L2INCP)^(AA15-L2Delay))*(AA15&lt;ProjTerm)*(AA15&gt;=L2Delay)*(SingJt="J")</f>
        <v>0</v>
      </c>
      <c r="AG15" s="221">
        <f>MAX(AG14*(1+GrsGrth)+Working!AE15,0)</f>
        <v>0</v>
      </c>
      <c r="AH15" s="221">
        <f>MAX(AH14*(1+GrsGrth)+Working!AF15,0)</f>
        <v>0</v>
      </c>
      <c r="AI15" s="221">
        <f>MAX(AI14*(1+GrsGrth)+Working!AE15,0)</f>
        <v>0</v>
      </c>
      <c r="AJ15" s="221">
        <f>MAX(AJ14*(1+GrsGrth)+Working!AF15,0)</f>
        <v>0</v>
      </c>
      <c r="AK15" s="222">
        <f t="shared" si="1"/>
        <v>0</v>
      </c>
    </row>
    <row r="16" spans="1:37" x14ac:dyDescent="0.3">
      <c r="A16" s="199" t="s">
        <v>145</v>
      </c>
      <c r="B16" s="226">
        <f ca="1">YEAR(TODAY())</f>
        <v>2025</v>
      </c>
      <c r="F16" s="219">
        <v>11</v>
      </c>
      <c r="G16" s="219">
        <f t="shared" si="4"/>
        <v>2036</v>
      </c>
      <c r="AA16" s="149">
        <f t="shared" si="2"/>
        <v>10</v>
      </c>
      <c r="AB16" s="149">
        <f t="shared" ca="1" si="3"/>
        <v>2035</v>
      </c>
      <c r="AC16" s="150"/>
      <c r="AD16" s="150"/>
      <c r="AE16" s="222" cm="1">
        <f t="array" ref="AE16">-L1WD*((1+L1INCP)^(AA16-L1Delay))*(AA16&lt;ProjTerm)*(AA16&gt;=L1Delay)</f>
        <v>0</v>
      </c>
      <c r="AF16" s="222" cm="1">
        <f t="array" ref="AF16">-L2WD*((1+L2INCP)^(AA16-L2Delay))*(AA16&lt;ProjTerm)*(AA16&gt;=L2Delay)*(SingJt="J")</f>
        <v>0</v>
      </c>
      <c r="AG16" s="221">
        <f>MAX(AG15*(1+GrsGrth)+Working!AE16,0)</f>
        <v>0</v>
      </c>
      <c r="AH16" s="221">
        <f>MAX(AH15*(1+GrsGrth)+Working!AF16,0)</f>
        <v>0</v>
      </c>
      <c r="AI16" s="221">
        <f>MAX(AI15*(1+GrsGrth)+Working!AE16,0)</f>
        <v>0</v>
      </c>
      <c r="AJ16" s="221">
        <f>MAX(AJ15*(1+GrsGrth)+Working!AF16,0)</f>
        <v>0</v>
      </c>
      <c r="AK16" s="222">
        <f t="shared" si="1"/>
        <v>0</v>
      </c>
    </row>
    <row r="17" spans="1:37" x14ac:dyDescent="0.3">
      <c r="A17" s="199" t="s">
        <v>146</v>
      </c>
      <c r="B17" s="227" cm="1">
        <f t="array" ref="B17">IF(L1INCP=Working!M2,Calcs!C32,L1INCP)</f>
        <v>0</v>
      </c>
      <c r="F17" s="219">
        <v>12</v>
      </c>
      <c r="G17" s="219">
        <f t="shared" si="4"/>
        <v>2037</v>
      </c>
      <c r="AA17" s="149">
        <f t="shared" si="2"/>
        <v>11</v>
      </c>
      <c r="AB17" s="149">
        <f t="shared" ca="1" si="3"/>
        <v>2036</v>
      </c>
      <c r="AC17" s="150"/>
      <c r="AD17" s="150"/>
      <c r="AE17" s="222" cm="1">
        <f t="array" ref="AE17">-L1WD*((1+L1INCP)^(AA17-L1Delay))*(AA17&lt;ProjTerm)*(AA17&gt;=L1Delay)</f>
        <v>0</v>
      </c>
      <c r="AF17" s="222" cm="1">
        <f t="array" ref="AF17">-L2WD*((1+L2INCP)^(AA17-L2Delay))*(AA17&lt;ProjTerm)*(AA17&gt;=L2Delay)*(SingJt="J")</f>
        <v>0</v>
      </c>
      <c r="AG17" s="221">
        <f>MAX(AG16*(1+GrsGrth)+Working!AE17,0)</f>
        <v>0</v>
      </c>
      <c r="AH17" s="221">
        <f>MAX(AH16*(1+GrsGrth)+Working!AF17,0)</f>
        <v>0</v>
      </c>
      <c r="AI17" s="221">
        <f>MAX(AI16*(1+GrsGrth)+Working!AE17,0)</f>
        <v>0</v>
      </c>
      <c r="AJ17" s="221">
        <f>MAX(AJ16*(1+GrsGrth)+Working!AF17,0)</f>
        <v>0</v>
      </c>
      <c r="AK17" s="222">
        <f t="shared" si="1"/>
        <v>0</v>
      </c>
    </row>
    <row r="18" spans="1:37" x14ac:dyDescent="0.3">
      <c r="A18" s="199" t="s">
        <v>147</v>
      </c>
      <c r="B18" s="227" cm="1">
        <f t="array" ref="B18">IF(L2INCP=Working!M2,Calcs!C32,L2INCP)</f>
        <v>0</v>
      </c>
      <c r="F18" s="219">
        <v>13</v>
      </c>
      <c r="G18" s="219">
        <f t="shared" si="4"/>
        <v>2038</v>
      </c>
      <c r="AA18" s="149">
        <f t="shared" si="2"/>
        <v>12</v>
      </c>
      <c r="AB18" s="149">
        <f t="shared" ca="1" si="3"/>
        <v>2037</v>
      </c>
      <c r="AC18" s="150"/>
      <c r="AD18" s="150"/>
      <c r="AE18" s="222" cm="1">
        <f t="array" ref="AE18">-L1WD*((1+L1INCP)^(AA18-L1Delay))*(AA18&lt;ProjTerm)*(AA18&gt;=L1Delay)</f>
        <v>0</v>
      </c>
      <c r="AF18" s="222" cm="1">
        <f t="array" ref="AF18">-L2WD*((1+L2INCP)^(AA18-L2Delay))*(AA18&lt;ProjTerm)*(AA18&gt;=L2Delay)*(SingJt="J")</f>
        <v>0</v>
      </c>
      <c r="AG18" s="221">
        <f>MAX(AG17*(1+GrsGrth)+Working!AE18,0)</f>
        <v>0</v>
      </c>
      <c r="AH18" s="221">
        <f>MAX(AH17*(1+GrsGrth)+Working!AF18,0)</f>
        <v>0</v>
      </c>
      <c r="AI18" s="221">
        <f>MAX(AI17*(1+GrsGrth)+Working!AE18,0)</f>
        <v>0</v>
      </c>
      <c r="AJ18" s="221">
        <f>MAX(AJ17*(1+GrsGrth)+Working!AF18,0)</f>
        <v>0</v>
      </c>
      <c r="AK18" s="222">
        <f t="shared" si="1"/>
        <v>0</v>
      </c>
    </row>
    <row r="19" spans="1:37" x14ac:dyDescent="0.3">
      <c r="F19" s="219">
        <v>14</v>
      </c>
      <c r="G19" s="219">
        <f t="shared" si="4"/>
        <v>2039</v>
      </c>
      <c r="O19" s="228" t="s">
        <v>148</v>
      </c>
      <c r="P19" s="229"/>
      <c r="Q19" s="230"/>
      <c r="AA19" s="149">
        <f t="shared" si="2"/>
        <v>13</v>
      </c>
      <c r="AB19" s="149">
        <f t="shared" ca="1" si="3"/>
        <v>2038</v>
      </c>
      <c r="AC19" s="150"/>
      <c r="AD19" s="150"/>
      <c r="AE19" s="222" cm="1">
        <f t="array" ref="AE19">-L1WD*((1+L1INCP)^(AA19-L1Delay))*(AA19&lt;ProjTerm)*(AA19&gt;=L1Delay)</f>
        <v>0</v>
      </c>
      <c r="AF19" s="222" cm="1">
        <f t="array" ref="AF19">-L2WD*((1+L2INCP)^(AA19-L2Delay))*(AA19&lt;ProjTerm)*(AA19&gt;=L2Delay)*(SingJt="J")</f>
        <v>0</v>
      </c>
      <c r="AG19" s="221">
        <f>MAX(AG18*(1+GrsGrth)+Working!AE19,0)</f>
        <v>0</v>
      </c>
      <c r="AH19" s="221">
        <f>MAX(AH18*(1+GrsGrth)+Working!AF19,0)</f>
        <v>0</v>
      </c>
      <c r="AI19" s="221">
        <f>MAX(AI18*(1+GrsGrth)+Working!AE19,0)</f>
        <v>0</v>
      </c>
      <c r="AJ19" s="221">
        <f>MAX(AJ18*(1+GrsGrth)+Working!AF19,0)</f>
        <v>0</v>
      </c>
      <c r="AK19" s="222">
        <f t="shared" si="1"/>
        <v>0</v>
      </c>
    </row>
    <row r="20" spans="1:37" x14ac:dyDescent="0.3">
      <c r="F20" s="219">
        <v>15</v>
      </c>
      <c r="G20" s="219">
        <f t="shared" si="4"/>
        <v>2040</v>
      </c>
      <c r="AA20" s="149">
        <f t="shared" si="2"/>
        <v>14</v>
      </c>
      <c r="AB20" s="149">
        <f t="shared" ca="1" si="3"/>
        <v>2039</v>
      </c>
      <c r="AC20" s="150"/>
      <c r="AD20" s="150"/>
      <c r="AE20" s="222" cm="1">
        <f t="array" ref="AE20">-L1WD*((1+L1INCP)^(AA20-L1Delay))*(AA20&lt;ProjTerm)*(AA20&gt;=L1Delay)</f>
        <v>0</v>
      </c>
      <c r="AF20" s="222" cm="1">
        <f t="array" ref="AF20">-L2WD*((1+L2INCP)^(AA20-L2Delay))*(AA20&lt;ProjTerm)*(AA20&gt;=L2Delay)*(SingJt="J")</f>
        <v>0</v>
      </c>
      <c r="AG20" s="221">
        <f>MAX(AG19*(1+GrsGrth)+Working!AE20,0)</f>
        <v>0</v>
      </c>
      <c r="AH20" s="221">
        <f>MAX(AH19*(1+GrsGrth)+Working!AF20,0)</f>
        <v>0</v>
      </c>
      <c r="AI20" s="221">
        <f>MAX(AI19*(1+GrsGrth)+Working!AE20,0)</f>
        <v>0</v>
      </c>
      <c r="AJ20" s="221">
        <f>MAX(AJ19*(1+GrsGrth)+Working!AF20,0)</f>
        <v>0</v>
      </c>
      <c r="AK20" s="222">
        <f t="shared" si="1"/>
        <v>0</v>
      </c>
    </row>
    <row r="21" spans="1:37" x14ac:dyDescent="0.3">
      <c r="A21" s="5" t="s">
        <v>194</v>
      </c>
      <c r="B21" s="241">
        <f>IF(L1INC="CPI",CPI,L1INC)</f>
        <v>0</v>
      </c>
      <c r="F21" s="219">
        <v>16</v>
      </c>
      <c r="G21" s="219">
        <f t="shared" si="4"/>
        <v>2041</v>
      </c>
      <c r="O21" s="151" t="s">
        <v>149</v>
      </c>
      <c r="AA21" s="149">
        <f t="shared" si="2"/>
        <v>15</v>
      </c>
      <c r="AB21" s="149">
        <f t="shared" ca="1" si="3"/>
        <v>2040</v>
      </c>
      <c r="AC21" s="150"/>
      <c r="AD21" s="150"/>
      <c r="AE21" s="222" cm="1">
        <f t="array" ref="AE21">-L1WD*((1+L1INCP)^(AA21-L1Delay))*(AA21&lt;ProjTerm)*(AA21&gt;=L1Delay)</f>
        <v>0</v>
      </c>
      <c r="AF21" s="222" cm="1">
        <f t="array" ref="AF21">-L2WD*((1+L2INCP)^(AA21-L2Delay))*(AA21&lt;ProjTerm)*(AA21&gt;=L2Delay)*(SingJt="J")</f>
        <v>0</v>
      </c>
      <c r="AG21" s="221">
        <f>MAX(AG20*(1+GrsGrth)+Working!AE21,0)</f>
        <v>0</v>
      </c>
      <c r="AH21" s="221">
        <f>MAX(AH20*(1+GrsGrth)+Working!AF21,0)</f>
        <v>0</v>
      </c>
      <c r="AI21" s="221">
        <f>MAX(AI20*(1+GrsGrth)+Working!AE21,0)</f>
        <v>0</v>
      </c>
      <c r="AJ21" s="221">
        <f>MAX(AJ20*(1+GrsGrth)+Working!AF21,0)</f>
        <v>0</v>
      </c>
      <c r="AK21" s="222">
        <f t="shared" si="1"/>
        <v>0</v>
      </c>
    </row>
    <row r="22" spans="1:37" x14ac:dyDescent="0.3">
      <c r="A22" s="5" t="s">
        <v>195</v>
      </c>
      <c r="B22" s="241">
        <f>IF(L2INC="CPI",CPI,L2INC)</f>
        <v>0</v>
      </c>
      <c r="F22" s="219">
        <v>17</v>
      </c>
      <c r="G22" s="219">
        <f t="shared" si="4"/>
        <v>2042</v>
      </c>
      <c r="O22" s="231">
        <f ca="1">Calcs!N35/1000000</f>
        <v>0</v>
      </c>
      <c r="AA22" s="149">
        <f t="shared" si="2"/>
        <v>16</v>
      </c>
      <c r="AB22" s="149">
        <f t="shared" ca="1" si="3"/>
        <v>2041</v>
      </c>
      <c r="AC22" s="150"/>
      <c r="AD22" s="150"/>
      <c r="AE22" s="222" cm="1">
        <f t="array" ref="AE22">-L1WD*((1+L1INCP)^(AA22-L1Delay))*(AA22&lt;ProjTerm)*(AA22&gt;=L1Delay)</f>
        <v>0</v>
      </c>
      <c r="AF22" s="222" cm="1">
        <f t="array" ref="AF22">-L2WD*((1+L2INCP)^(AA22-L2Delay))*(AA22&lt;ProjTerm)*(AA22&gt;=L2Delay)*(SingJt="J")</f>
        <v>0</v>
      </c>
      <c r="AG22" s="221">
        <f>MAX(AG21*(1+GrsGrth)+Working!AE22,0)</f>
        <v>0</v>
      </c>
      <c r="AH22" s="221">
        <f>MAX(AH21*(1+GrsGrth)+Working!AF22,0)</f>
        <v>0</v>
      </c>
      <c r="AI22" s="221">
        <f>MAX(AI21*(1+GrsGrth)+Working!AE22,0)</f>
        <v>0</v>
      </c>
      <c r="AJ22" s="221">
        <f>MAX(AJ21*(1+GrsGrth)+Working!AF22,0)</f>
        <v>0</v>
      </c>
      <c r="AK22" s="222">
        <f t="shared" si="1"/>
        <v>0</v>
      </c>
    </row>
    <row r="23" spans="1:37" x14ac:dyDescent="0.3">
      <c r="F23" s="219">
        <v>18</v>
      </c>
      <c r="G23" s="219">
        <f t="shared" si="4"/>
        <v>2043</v>
      </c>
      <c r="O23" s="232" t="e">
        <f ca="1">"+"&amp;ROUND((Calcs!K35/Calcs!J35-1)*100,0)&amp;"%"</f>
        <v>#DIV/0!</v>
      </c>
      <c r="AA23" s="149">
        <f t="shared" si="2"/>
        <v>17</v>
      </c>
      <c r="AB23" s="149">
        <f t="shared" ca="1" si="3"/>
        <v>2042</v>
      </c>
      <c r="AC23" s="150"/>
      <c r="AD23" s="150"/>
      <c r="AE23" s="222" cm="1">
        <f t="array" ref="AE23">-L1WD*((1+L1INCP)^(AA23-L1Delay))*(AA23&lt;ProjTerm)*(AA23&gt;=L1Delay)</f>
        <v>0</v>
      </c>
      <c r="AF23" s="222" cm="1">
        <f t="array" ref="AF23">-L2WD*((1+L2INCP)^(AA23-L2Delay))*(AA23&lt;ProjTerm)*(AA23&gt;=L2Delay)*(SingJt="J")</f>
        <v>0</v>
      </c>
      <c r="AG23" s="221">
        <f>MAX(AG22*(1+GrsGrth)+Working!AE23,0)</f>
        <v>0</v>
      </c>
      <c r="AH23" s="221">
        <f>MAX(AH22*(1+GrsGrth)+Working!AF23,0)</f>
        <v>0</v>
      </c>
      <c r="AI23" s="221">
        <f>MAX(AI22*(1+GrsGrth)+Working!AE23,0)</f>
        <v>0</v>
      </c>
      <c r="AJ23" s="221">
        <f>MAX(AJ22*(1+GrsGrth)+Working!AF23,0)</f>
        <v>0</v>
      </c>
      <c r="AK23" s="222">
        <f t="shared" si="1"/>
        <v>0</v>
      </c>
    </row>
    <row r="24" spans="1:37" x14ac:dyDescent="0.3">
      <c r="F24" s="219">
        <v>19</v>
      </c>
      <c r="G24" s="219">
        <f t="shared" si="4"/>
        <v>2044</v>
      </c>
      <c r="O24" s="233"/>
      <c r="P24" s="234"/>
      <c r="Q24" s="234"/>
      <c r="AA24" s="149">
        <f t="shared" si="2"/>
        <v>18</v>
      </c>
      <c r="AB24" s="149">
        <f t="shared" ca="1" si="3"/>
        <v>2043</v>
      </c>
      <c r="AC24" s="150"/>
      <c r="AD24" s="150"/>
      <c r="AE24" s="222" cm="1">
        <f t="array" ref="AE24">-L1WD*((1+L1INCP)^(AA24-L1Delay))*(AA24&lt;ProjTerm)*(AA24&gt;=L1Delay)</f>
        <v>0</v>
      </c>
      <c r="AF24" s="222" cm="1">
        <f t="array" ref="AF24">-L2WD*((1+L2INCP)^(AA24-L2Delay))*(AA24&lt;ProjTerm)*(AA24&gt;=L2Delay)*(SingJt="J")</f>
        <v>0</v>
      </c>
      <c r="AG24" s="221">
        <f>MAX(AG23*(1+GrsGrth)+Working!AE24,0)</f>
        <v>0</v>
      </c>
      <c r="AH24" s="221">
        <f>MAX(AH23*(1+GrsGrth)+Working!AF24,0)</f>
        <v>0</v>
      </c>
      <c r="AI24" s="221">
        <f>MAX(AI23*(1+GrsGrth)+Working!AE24,0)</f>
        <v>0</v>
      </c>
      <c r="AJ24" s="221">
        <f>MAX(AJ23*(1+GrsGrth)+Working!AF24,0)</f>
        <v>0</v>
      </c>
      <c r="AK24" s="222">
        <f t="shared" si="1"/>
        <v>0</v>
      </c>
    </row>
    <row r="25" spans="1:37" x14ac:dyDescent="0.3">
      <c r="F25" s="219">
        <v>20</v>
      </c>
      <c r="G25" s="219">
        <f t="shared" si="4"/>
        <v>2045</v>
      </c>
      <c r="AA25" s="149">
        <f t="shared" si="2"/>
        <v>19</v>
      </c>
      <c r="AB25" s="149">
        <f t="shared" ca="1" si="3"/>
        <v>2044</v>
      </c>
      <c r="AC25" s="150"/>
      <c r="AD25" s="150"/>
      <c r="AE25" s="222" cm="1">
        <f t="array" ref="AE25">-L1WD*((1+L1INCP)^(AA25-L1Delay))*(AA25&lt;ProjTerm)*(AA25&gt;=L1Delay)</f>
        <v>0</v>
      </c>
      <c r="AF25" s="222" cm="1">
        <f t="array" ref="AF25">-L2WD*((1+L2INCP)^(AA25-L2Delay))*(AA25&lt;ProjTerm)*(AA25&gt;=L2Delay)*(SingJt="J")</f>
        <v>0</v>
      </c>
      <c r="AG25" s="221">
        <f>MAX(AG24*(1+GrsGrth)+Working!AE25,0)</f>
        <v>0</v>
      </c>
      <c r="AH25" s="221">
        <f>MAX(AH24*(1+GrsGrth)+Working!AF25,0)</f>
        <v>0</v>
      </c>
      <c r="AI25" s="221">
        <f>MAX(AI24*(1+GrsGrth)+Working!AE25,0)</f>
        <v>0</v>
      </c>
      <c r="AJ25" s="221">
        <f>MAX(AJ24*(1+GrsGrth)+Working!AF25,0)</f>
        <v>0</v>
      </c>
      <c r="AK25" s="222">
        <f t="shared" si="1"/>
        <v>0</v>
      </c>
    </row>
    <row r="26" spans="1:37" x14ac:dyDescent="0.3">
      <c r="F26" s="235" t="s">
        <v>150</v>
      </c>
      <c r="G26" s="235" t="s">
        <v>150</v>
      </c>
      <c r="AA26" s="149">
        <f t="shared" si="2"/>
        <v>20</v>
      </c>
      <c r="AB26" s="149">
        <f t="shared" ca="1" si="3"/>
        <v>2045</v>
      </c>
      <c r="AC26" s="150"/>
      <c r="AD26" s="150"/>
      <c r="AE26" s="222" cm="1">
        <f t="array" ref="AE26">-L1WD*((1+L1INCP)^(AA26-L1Delay))*(AA26&lt;ProjTerm)*(AA26&gt;=L1Delay)</f>
        <v>0</v>
      </c>
      <c r="AF26" s="222" cm="1">
        <f t="array" ref="AF26">-L2WD*((1+L2INCP)^(AA26-L2Delay))*(AA26&lt;ProjTerm)*(AA26&gt;=L2Delay)*(SingJt="J")</f>
        <v>0</v>
      </c>
      <c r="AG26" s="221">
        <f>MAX(AG25*(1+GrsGrth)+Working!AE26,0)</f>
        <v>0</v>
      </c>
      <c r="AH26" s="221">
        <f>MAX(AH25*(1+GrsGrth)+Working!AF26,0)</f>
        <v>0</v>
      </c>
      <c r="AI26" s="221">
        <f>MAX(AI25*(1+GrsGrth)+Working!AE26,0)</f>
        <v>0</v>
      </c>
      <c r="AJ26" s="221">
        <f>MAX(AJ25*(1+GrsGrth)+Working!AF26,0)</f>
        <v>0</v>
      </c>
      <c r="AK26" s="222">
        <f t="shared" si="1"/>
        <v>0</v>
      </c>
    </row>
    <row r="27" spans="1:37" x14ac:dyDescent="0.3">
      <c r="AA27" s="149">
        <f t="shared" si="2"/>
        <v>21</v>
      </c>
      <c r="AB27" s="149">
        <f t="shared" ca="1" si="3"/>
        <v>2046</v>
      </c>
      <c r="AC27" s="150"/>
      <c r="AD27" s="150"/>
      <c r="AE27" s="222" cm="1">
        <f t="array" ref="AE27">-L1WD*((1+L1INCP)^(AA27-L1Delay))*(AA27&lt;ProjTerm)*(AA27&gt;=L1Delay)</f>
        <v>0</v>
      </c>
      <c r="AF27" s="222" cm="1">
        <f t="array" ref="AF27">-L2WD*((1+L2INCP)^(AA27-L2Delay))*(AA27&lt;ProjTerm)*(AA27&gt;=L2Delay)*(SingJt="J")</f>
        <v>0</v>
      </c>
      <c r="AG27" s="221">
        <f>MAX(AG26*(1+GrsGrth)+Working!AE27,0)</f>
        <v>0</v>
      </c>
      <c r="AH27" s="221">
        <f>MAX(AH26*(1+GrsGrth)+Working!AF27,0)</f>
        <v>0</v>
      </c>
      <c r="AI27" s="221">
        <f>MAX(AI26*(1+GrsGrth)+Working!AE27,0)</f>
        <v>0</v>
      </c>
      <c r="AJ27" s="221">
        <f>MAX(AJ26*(1+GrsGrth)+Working!AF27,0)</f>
        <v>0</v>
      </c>
      <c r="AK27" s="222">
        <f t="shared" si="1"/>
        <v>0</v>
      </c>
    </row>
    <row r="28" spans="1:37" x14ac:dyDescent="0.3">
      <c r="AA28" s="149">
        <f t="shared" si="2"/>
        <v>22</v>
      </c>
      <c r="AB28" s="149">
        <f t="shared" ca="1" si="3"/>
        <v>2047</v>
      </c>
      <c r="AC28" s="150"/>
      <c r="AD28" s="150"/>
      <c r="AE28" s="222" cm="1">
        <f t="array" ref="AE28">-L1WD*((1+L1INCP)^(AA28-L1Delay))*(AA28&lt;ProjTerm)*(AA28&gt;=L1Delay)</f>
        <v>0</v>
      </c>
      <c r="AF28" s="222" cm="1">
        <f t="array" ref="AF28">-L2WD*((1+L2INCP)^(AA28-L2Delay))*(AA28&lt;ProjTerm)*(AA28&gt;=L2Delay)*(SingJt="J")</f>
        <v>0</v>
      </c>
      <c r="AG28" s="221">
        <f>MAX(AG27*(1+GrsGrth)+Working!AE28,0)</f>
        <v>0</v>
      </c>
      <c r="AH28" s="221">
        <f>MAX(AH27*(1+GrsGrth)+Working!AF28,0)</f>
        <v>0</v>
      </c>
      <c r="AI28" s="221">
        <f>MAX(AI27*(1+GrsGrth)+Working!AE28,0)</f>
        <v>0</v>
      </c>
      <c r="AJ28" s="221">
        <f>MAX(AJ27*(1+GrsGrth)+Working!AF28,0)</f>
        <v>0</v>
      </c>
      <c r="AK28" s="222">
        <f t="shared" si="1"/>
        <v>0</v>
      </c>
    </row>
    <row r="29" spans="1:37" x14ac:dyDescent="0.3">
      <c r="AA29" s="149">
        <f t="shared" si="2"/>
        <v>23</v>
      </c>
      <c r="AB29" s="149">
        <f t="shared" ca="1" si="3"/>
        <v>2048</v>
      </c>
      <c r="AC29" s="150"/>
      <c r="AD29" s="150"/>
      <c r="AE29" s="222" cm="1">
        <f t="array" ref="AE29">-L1WD*((1+L1INCP)^(AA29-L1Delay))*(AA29&lt;ProjTerm)*(AA29&gt;=L1Delay)</f>
        <v>0</v>
      </c>
      <c r="AF29" s="222" cm="1">
        <f t="array" ref="AF29">-L2WD*((1+L2INCP)^(AA29-L2Delay))*(AA29&lt;ProjTerm)*(AA29&gt;=L2Delay)*(SingJt="J")</f>
        <v>0</v>
      </c>
      <c r="AG29" s="221">
        <f>MAX(AG28*(1+GrsGrth)+Working!AE29,0)</f>
        <v>0</v>
      </c>
      <c r="AH29" s="221">
        <f>MAX(AH28*(1+GrsGrth)+Working!AF29,0)</f>
        <v>0</v>
      </c>
      <c r="AI29" s="221">
        <f>MAX(AI28*(1+GrsGrth)+Working!AE29,0)</f>
        <v>0</v>
      </c>
      <c r="AJ29" s="221">
        <f>MAX(AJ28*(1+GrsGrth)+Working!AF29,0)</f>
        <v>0</v>
      </c>
      <c r="AK29" s="222">
        <f t="shared" si="1"/>
        <v>0</v>
      </c>
    </row>
    <row r="30" spans="1:37" x14ac:dyDescent="0.3">
      <c r="AA30" s="149">
        <f t="shared" si="2"/>
        <v>24</v>
      </c>
      <c r="AB30" s="149">
        <f t="shared" ca="1" si="3"/>
        <v>2049</v>
      </c>
      <c r="AC30" s="150"/>
      <c r="AD30" s="150"/>
      <c r="AE30" s="222" cm="1">
        <f t="array" ref="AE30">-L1WD*((1+L1INCP)^(AA30-L1Delay))*(AA30&lt;ProjTerm)*(AA30&gt;=L1Delay)</f>
        <v>0</v>
      </c>
      <c r="AF30" s="222" cm="1">
        <f t="array" ref="AF30">-L2WD*((1+L2INCP)^(AA30-L2Delay))*(AA30&lt;ProjTerm)*(AA30&gt;=L2Delay)*(SingJt="J")</f>
        <v>0</v>
      </c>
      <c r="AG30" s="221">
        <f>MAX(AG29*(1+GrsGrth)+Working!AE30,0)</f>
        <v>0</v>
      </c>
      <c r="AH30" s="221">
        <f>MAX(AH29*(1+GrsGrth)+Working!AF30,0)</f>
        <v>0</v>
      </c>
      <c r="AI30" s="221">
        <f>MAX(AI29*(1+GrsGrth)+Working!AE30,0)</f>
        <v>0</v>
      </c>
      <c r="AJ30" s="221">
        <f>MAX(AJ29*(1+GrsGrth)+Working!AF30,0)</f>
        <v>0</v>
      </c>
      <c r="AK30" s="222">
        <f t="shared" si="1"/>
        <v>0</v>
      </c>
    </row>
    <row r="31" spans="1:37" x14ac:dyDescent="0.3">
      <c r="AA31" s="149">
        <f t="shared" si="2"/>
        <v>25</v>
      </c>
      <c r="AB31" s="149">
        <f t="shared" ca="1" si="3"/>
        <v>2050</v>
      </c>
      <c r="AC31" s="150"/>
      <c r="AD31" s="150"/>
      <c r="AE31" s="222" cm="1">
        <f t="array" ref="AE31">-L1WD*((1+L1INCP)^(AA31-L1Delay))*(AA31&lt;ProjTerm)*(AA31&gt;=L1Delay)</f>
        <v>0</v>
      </c>
      <c r="AF31" s="222" cm="1">
        <f t="array" ref="AF31">-L2WD*((1+L2INCP)^(AA31-L2Delay))*(AA31&lt;ProjTerm)*(AA31&gt;=L2Delay)*(SingJt="J")</f>
        <v>0</v>
      </c>
      <c r="AG31" s="221">
        <f>MAX(AG30*(1+GrsGrth)+Working!AE31,0)</f>
        <v>0</v>
      </c>
      <c r="AH31" s="221">
        <f>MAX(AH30*(1+GrsGrth)+Working!AF31,0)</f>
        <v>0</v>
      </c>
      <c r="AI31" s="221">
        <f>MAX(AI30*(1+GrsGrth)+Working!AE31,0)</f>
        <v>0</v>
      </c>
      <c r="AJ31" s="221">
        <f>MAX(AJ30*(1+GrsGrth)+Working!AF31,0)</f>
        <v>0</v>
      </c>
      <c r="AK31" s="222">
        <f t="shared" si="1"/>
        <v>0</v>
      </c>
    </row>
    <row r="32" spans="1:37" x14ac:dyDescent="0.3">
      <c r="AA32" s="149">
        <f t="shared" si="2"/>
        <v>26</v>
      </c>
      <c r="AB32" s="149">
        <f t="shared" ca="1" si="3"/>
        <v>2051</v>
      </c>
      <c r="AC32" s="150"/>
      <c r="AD32" s="150"/>
      <c r="AE32" s="222" cm="1">
        <f t="array" ref="AE32">-L1WD*((1+L1INCP)^(AA32-L1Delay))*(AA32&lt;ProjTerm)*(AA32&gt;=L1Delay)</f>
        <v>0</v>
      </c>
      <c r="AF32" s="222" cm="1">
        <f t="array" ref="AF32">-L2WD*((1+L2INCP)^(AA32-L2Delay))*(AA32&lt;ProjTerm)*(AA32&gt;=L2Delay)*(SingJt="J")</f>
        <v>0</v>
      </c>
      <c r="AG32" s="221">
        <f>MAX(AG31*(1+GrsGrth)+Working!AE32,0)</f>
        <v>0</v>
      </c>
      <c r="AH32" s="221">
        <f>MAX(AH31*(1+GrsGrth)+Working!AF32,0)</f>
        <v>0</v>
      </c>
      <c r="AI32" s="221">
        <f>MAX(AI31*(1+GrsGrth)+Working!AE32,0)</f>
        <v>0</v>
      </c>
      <c r="AJ32" s="221">
        <f>MAX(AJ31*(1+GrsGrth)+Working!AF32,0)</f>
        <v>0</v>
      </c>
      <c r="AK32" s="222">
        <f t="shared" si="1"/>
        <v>0</v>
      </c>
    </row>
    <row r="33" spans="5:37" x14ac:dyDescent="0.3">
      <c r="AA33" s="149">
        <f t="shared" si="2"/>
        <v>27</v>
      </c>
      <c r="AB33" s="149">
        <f t="shared" ca="1" si="3"/>
        <v>2052</v>
      </c>
      <c r="AC33" s="150"/>
      <c r="AD33" s="150"/>
      <c r="AE33" s="222" cm="1">
        <f t="array" ref="AE33">-L1WD*((1+L1INCP)^(AA33-L1Delay))*(AA33&lt;ProjTerm)*(AA33&gt;=L1Delay)</f>
        <v>0</v>
      </c>
      <c r="AF33" s="222" cm="1">
        <f t="array" ref="AF33">-L2WD*((1+L2INCP)^(AA33-L2Delay))*(AA33&lt;ProjTerm)*(AA33&gt;=L2Delay)*(SingJt="J")</f>
        <v>0</v>
      </c>
      <c r="AG33" s="221">
        <f>MAX(AG32*(1+GrsGrth)+Working!AE33,0)</f>
        <v>0</v>
      </c>
      <c r="AH33" s="221">
        <f>MAX(AH32*(1+GrsGrth)+Working!AF33,0)</f>
        <v>0</v>
      </c>
      <c r="AI33" s="221">
        <f>MAX(AI32*(1+GrsGrth)+Working!AE33,0)</f>
        <v>0</v>
      </c>
      <c r="AJ33" s="221">
        <f>MAX(AJ32*(1+GrsGrth)+Working!AF33,0)</f>
        <v>0</v>
      </c>
      <c r="AK33" s="222">
        <f t="shared" si="1"/>
        <v>0</v>
      </c>
    </row>
    <row r="34" spans="5:37" x14ac:dyDescent="0.3">
      <c r="AA34" s="149">
        <f t="shared" si="2"/>
        <v>28</v>
      </c>
      <c r="AB34" s="149">
        <f t="shared" ca="1" si="3"/>
        <v>2053</v>
      </c>
      <c r="AC34" s="150"/>
      <c r="AD34" s="150"/>
      <c r="AE34" s="222" cm="1">
        <f t="array" ref="AE34">-L1WD*((1+L1INCP)^(AA34-L1Delay))*(AA34&lt;ProjTerm)*(AA34&gt;=L1Delay)</f>
        <v>0</v>
      </c>
      <c r="AF34" s="222" cm="1">
        <f t="array" ref="AF34">-L2WD*((1+L2INCP)^(AA34-L2Delay))*(AA34&lt;ProjTerm)*(AA34&gt;=L2Delay)*(SingJt="J")</f>
        <v>0</v>
      </c>
      <c r="AG34" s="221">
        <f>MAX(AG33*(1+GrsGrth)+Working!AE34,0)</f>
        <v>0</v>
      </c>
      <c r="AH34" s="221">
        <f>MAX(AH33*(1+GrsGrth)+Working!AF34,0)</f>
        <v>0</v>
      </c>
      <c r="AI34" s="221">
        <f>MAX(AI33*(1+GrsGrth)+Working!AE34,0)</f>
        <v>0</v>
      </c>
      <c r="AJ34" s="221">
        <f>MAX(AJ33*(1+GrsGrth)+Working!AF34,0)</f>
        <v>0</v>
      </c>
      <c r="AK34" s="222">
        <f t="shared" si="1"/>
        <v>0</v>
      </c>
    </row>
    <row r="35" spans="5:37" x14ac:dyDescent="0.3">
      <c r="E35" s="187"/>
      <c r="F35" s="187"/>
      <c r="AA35" s="149">
        <f t="shared" si="2"/>
        <v>29</v>
      </c>
      <c r="AB35" s="149">
        <f t="shared" ca="1" si="3"/>
        <v>2054</v>
      </c>
      <c r="AC35" s="150"/>
      <c r="AD35" s="150"/>
      <c r="AE35" s="222" cm="1">
        <f t="array" ref="AE35">-L1WD*((1+L1INCP)^(AA35-L1Delay))*(AA35&lt;ProjTerm)*(AA35&gt;=L1Delay)</f>
        <v>0</v>
      </c>
      <c r="AF35" s="222" cm="1">
        <f t="array" ref="AF35">-L2WD*((1+L2INCP)^(AA35-L2Delay))*(AA35&lt;ProjTerm)*(AA35&gt;=L2Delay)*(SingJt="J")</f>
        <v>0</v>
      </c>
      <c r="AG35" s="221">
        <f>MAX(AG34*(1+GrsGrth)+Working!AE35,0)</f>
        <v>0</v>
      </c>
      <c r="AH35" s="221">
        <f>MAX(AH34*(1+GrsGrth)+Working!AF35,0)</f>
        <v>0</v>
      </c>
      <c r="AI35" s="221">
        <f>MAX(AI34*(1+GrsGrth)+Working!AE35,0)</f>
        <v>0</v>
      </c>
      <c r="AJ35" s="221">
        <f>MAX(AJ34*(1+GrsGrth)+Working!AF35,0)</f>
        <v>0</v>
      </c>
      <c r="AK35" s="222">
        <f t="shared" si="1"/>
        <v>0</v>
      </c>
    </row>
    <row r="36" spans="5:37" x14ac:dyDescent="0.3">
      <c r="AA36" s="149">
        <f t="shared" si="2"/>
        <v>30</v>
      </c>
      <c r="AB36" s="149">
        <f t="shared" ca="1" si="3"/>
        <v>2055</v>
      </c>
      <c r="AC36" s="150"/>
      <c r="AD36" s="150"/>
      <c r="AE36" s="222" cm="1">
        <f t="array" ref="AE36">-L1WD*((1+L1INCP)^(AA36-L1Delay))*(AA36&lt;ProjTerm)*(AA36&gt;=L1Delay)</f>
        <v>0</v>
      </c>
      <c r="AF36" s="222" cm="1">
        <f t="array" ref="AF36">-L2WD*((1+L2INCP)^(AA36-L2Delay))*(AA36&lt;ProjTerm)*(AA36&gt;=L2Delay)*(SingJt="J")</f>
        <v>0</v>
      </c>
      <c r="AG36" s="221">
        <f>MAX(AG35*(1+GrsGrth)+Working!AE36,0)</f>
        <v>0</v>
      </c>
      <c r="AH36" s="221">
        <f>MAX(AH35*(1+GrsGrth)+Working!AF36,0)</f>
        <v>0</v>
      </c>
      <c r="AI36" s="221">
        <f>MAX(AI35*(1+GrsGrth)+Working!AE36,0)</f>
        <v>0</v>
      </c>
      <c r="AJ36" s="221">
        <f>MAX(AJ35*(1+GrsGrth)+Working!AF36,0)</f>
        <v>0</v>
      </c>
      <c r="AK36" s="222">
        <f t="shared" si="1"/>
        <v>0</v>
      </c>
    </row>
    <row r="37" spans="5:37" x14ac:dyDescent="0.3">
      <c r="AA37" s="149">
        <f t="shared" si="2"/>
        <v>31</v>
      </c>
      <c r="AB37" s="149">
        <f t="shared" ca="1" si="3"/>
        <v>2056</v>
      </c>
      <c r="AC37" s="150"/>
      <c r="AD37" s="150"/>
      <c r="AE37" s="222" cm="1">
        <f t="array" ref="AE37">-L1WD*((1+L1INCP)^(AA37-L1Delay))*(AA37&lt;ProjTerm)*(AA37&gt;=L1Delay)</f>
        <v>0</v>
      </c>
      <c r="AF37" s="222" cm="1">
        <f t="array" ref="AF37">-L2WD*((1+L2INCP)^(AA37-L2Delay))*(AA37&lt;ProjTerm)*(AA37&gt;=L2Delay)*(SingJt="J")</f>
        <v>0</v>
      </c>
      <c r="AG37" s="221">
        <f>MAX(AG36*(1+GrsGrth)+Working!AE37,0)</f>
        <v>0</v>
      </c>
      <c r="AH37" s="221">
        <f>MAX(AH36*(1+GrsGrth)+Working!AF37,0)</f>
        <v>0</v>
      </c>
      <c r="AI37" s="221">
        <f>MAX(AI36*(1+GrsGrth)+Working!AE37,0)</f>
        <v>0</v>
      </c>
      <c r="AJ37" s="221">
        <f>MAX(AJ36*(1+GrsGrth)+Working!AF37,0)</f>
        <v>0</v>
      </c>
      <c r="AK37" s="222">
        <f t="shared" si="1"/>
        <v>0</v>
      </c>
    </row>
    <row r="38" spans="5:37" x14ac:dyDescent="0.3">
      <c r="AA38" s="149">
        <f t="shared" si="2"/>
        <v>32</v>
      </c>
      <c r="AB38" s="149">
        <f t="shared" ca="1" si="3"/>
        <v>2057</v>
      </c>
      <c r="AC38" s="150"/>
      <c r="AD38" s="150"/>
      <c r="AE38" s="222" cm="1">
        <f t="array" ref="AE38">-L1WD*((1+L1INCP)^(AA38-L1Delay))*(AA38&lt;ProjTerm)*(AA38&gt;=L1Delay)</f>
        <v>0</v>
      </c>
      <c r="AF38" s="222" cm="1">
        <f t="array" ref="AF38">-L2WD*((1+L2INCP)^(AA38-L2Delay))*(AA38&lt;ProjTerm)*(AA38&gt;=L2Delay)*(SingJt="J")</f>
        <v>0</v>
      </c>
      <c r="AG38" s="221">
        <f>MAX(AG37*(1+GrsGrth)+Working!AE38,0)</f>
        <v>0</v>
      </c>
      <c r="AH38" s="221">
        <f>MAX(AH37*(1+GrsGrth)+Working!AF38,0)</f>
        <v>0</v>
      </c>
      <c r="AI38" s="221">
        <f>MAX(AI37*(1+GrsGrth)+Working!AE38,0)</f>
        <v>0</v>
      </c>
      <c r="AJ38" s="221">
        <f>MAX(AJ37*(1+GrsGrth)+Working!AF38,0)</f>
        <v>0</v>
      </c>
      <c r="AK38" s="222">
        <f t="shared" si="1"/>
        <v>0</v>
      </c>
    </row>
    <row r="39" spans="5:37" x14ac:dyDescent="0.3">
      <c r="AA39" s="149">
        <f t="shared" si="2"/>
        <v>33</v>
      </c>
      <c r="AB39" s="149">
        <f t="shared" ca="1" si="3"/>
        <v>2058</v>
      </c>
      <c r="AC39" s="150"/>
      <c r="AD39" s="150"/>
      <c r="AE39" s="222" cm="1">
        <f t="array" ref="AE39">-L1WD*((1+L1INCP)^(AA39-L1Delay))*(AA39&lt;ProjTerm)*(AA39&gt;=L1Delay)</f>
        <v>0</v>
      </c>
      <c r="AF39" s="222" cm="1">
        <f t="array" ref="AF39">-L2WD*((1+L2INCP)^(AA39-L2Delay))*(AA39&lt;ProjTerm)*(AA39&gt;=L2Delay)*(SingJt="J")</f>
        <v>0</v>
      </c>
      <c r="AG39" s="221">
        <f>MAX(AG38*(1+GrsGrth)+Working!AE39,0)</f>
        <v>0</v>
      </c>
      <c r="AH39" s="221">
        <f>MAX(AH38*(1+GrsGrth)+Working!AF39,0)</f>
        <v>0</v>
      </c>
      <c r="AI39" s="221">
        <f>MAX(AI38*(1+GrsGrth)+Working!AE39,0)</f>
        <v>0</v>
      </c>
      <c r="AJ39" s="221">
        <f>MAX(AJ38*(1+GrsGrth)+Working!AF39,0)</f>
        <v>0</v>
      </c>
      <c r="AK39" s="222">
        <f t="shared" ref="AK39:AK61" si="5">AK38*(1+NetGrth)</f>
        <v>0</v>
      </c>
    </row>
    <row r="40" spans="5:37" x14ac:dyDescent="0.3">
      <c r="AA40" s="149">
        <f t="shared" si="2"/>
        <v>34</v>
      </c>
      <c r="AB40" s="149">
        <f t="shared" ca="1" si="3"/>
        <v>2059</v>
      </c>
      <c r="AC40" s="150"/>
      <c r="AD40" s="150"/>
      <c r="AE40" s="222" cm="1">
        <f t="array" ref="AE40">-L1WD*((1+L1INCP)^(AA40-L1Delay))*(AA40&lt;ProjTerm)*(AA40&gt;=L1Delay)</f>
        <v>0</v>
      </c>
      <c r="AF40" s="222" cm="1">
        <f t="array" ref="AF40">-L2WD*((1+L2INCP)^(AA40-L2Delay))*(AA40&lt;ProjTerm)*(AA40&gt;=L2Delay)*(SingJt="J")</f>
        <v>0</v>
      </c>
      <c r="AG40" s="221">
        <f>MAX(AG39*(1+GrsGrth)+Working!AE40,0)</f>
        <v>0</v>
      </c>
      <c r="AH40" s="221">
        <f>MAX(AH39*(1+GrsGrth)+Working!AF40,0)</f>
        <v>0</v>
      </c>
      <c r="AI40" s="221">
        <f>MAX(AI39*(1+GrsGrth)+Working!AE40,0)</f>
        <v>0</v>
      </c>
      <c r="AJ40" s="221">
        <f>MAX(AJ39*(1+GrsGrth)+Working!AF40,0)</f>
        <v>0</v>
      </c>
      <c r="AK40" s="222">
        <f t="shared" si="5"/>
        <v>0</v>
      </c>
    </row>
    <row r="41" spans="5:37" x14ac:dyDescent="0.3">
      <c r="AA41" s="149">
        <f t="shared" si="2"/>
        <v>35</v>
      </c>
      <c r="AB41" s="149">
        <f t="shared" ca="1" si="3"/>
        <v>2060</v>
      </c>
      <c r="AC41" s="150"/>
      <c r="AD41" s="150"/>
      <c r="AE41" s="222" cm="1">
        <f t="array" ref="AE41">-L1WD*((1+L1INCP)^(AA41-L1Delay))*(AA41&lt;ProjTerm)*(AA41&gt;=L1Delay)</f>
        <v>0</v>
      </c>
      <c r="AF41" s="222" cm="1">
        <f t="array" ref="AF41">-L2WD*((1+L2INCP)^(AA41-L2Delay))*(AA41&lt;ProjTerm)*(AA41&gt;=L2Delay)*(SingJt="J")</f>
        <v>0</v>
      </c>
      <c r="AG41" s="221">
        <f>MAX(AG40*(1+GrsGrth)+Working!AE41,0)</f>
        <v>0</v>
      </c>
      <c r="AH41" s="221">
        <f>MAX(AH40*(1+GrsGrth)+Working!AF41,0)</f>
        <v>0</v>
      </c>
      <c r="AI41" s="221">
        <f>MAX(AI40*(1+GrsGrth)+Working!AE41,0)</f>
        <v>0</v>
      </c>
      <c r="AJ41" s="221">
        <f>MAX(AJ40*(1+GrsGrth)+Working!AF41,0)</f>
        <v>0</v>
      </c>
      <c r="AK41" s="222">
        <f t="shared" si="5"/>
        <v>0</v>
      </c>
    </row>
    <row r="42" spans="5:37" x14ac:dyDescent="0.3">
      <c r="AA42" s="149">
        <f t="shared" si="2"/>
        <v>36</v>
      </c>
      <c r="AB42" s="149">
        <f t="shared" ca="1" si="3"/>
        <v>2061</v>
      </c>
      <c r="AC42" s="150"/>
      <c r="AD42" s="150"/>
      <c r="AE42" s="222" cm="1">
        <f t="array" ref="AE42">-L1WD*((1+L1INCP)^(AA42-L1Delay))*(AA42&lt;ProjTerm)*(AA42&gt;=L1Delay)</f>
        <v>0</v>
      </c>
      <c r="AF42" s="222" cm="1">
        <f t="array" ref="AF42">-L2WD*((1+L2INCP)^(AA42-L2Delay))*(AA42&lt;ProjTerm)*(AA42&gt;=L2Delay)*(SingJt="J")</f>
        <v>0</v>
      </c>
      <c r="AG42" s="221">
        <f>MAX(AG41*(1+GrsGrth)+Working!AE42,0)</f>
        <v>0</v>
      </c>
      <c r="AH42" s="221">
        <f>MAX(AH41*(1+GrsGrth)+Working!AF42,0)</f>
        <v>0</v>
      </c>
      <c r="AI42" s="221">
        <f>MAX(AI41*(1+GrsGrth)+Working!AE42,0)</f>
        <v>0</v>
      </c>
      <c r="AJ42" s="221">
        <f>MAX(AJ41*(1+GrsGrth)+Working!AF42,0)</f>
        <v>0</v>
      </c>
      <c r="AK42" s="222">
        <f t="shared" si="5"/>
        <v>0</v>
      </c>
    </row>
    <row r="43" spans="5:37" x14ac:dyDescent="0.3">
      <c r="AA43" s="149">
        <f t="shared" si="2"/>
        <v>37</v>
      </c>
      <c r="AB43" s="149">
        <f t="shared" ca="1" si="3"/>
        <v>2062</v>
      </c>
      <c r="AC43" s="150"/>
      <c r="AD43" s="150"/>
      <c r="AE43" s="222" cm="1">
        <f t="array" ref="AE43">-L1WD*((1+L1INCP)^(AA43-L1Delay))*(AA43&lt;ProjTerm)*(AA43&gt;=L1Delay)</f>
        <v>0</v>
      </c>
      <c r="AF43" s="222" cm="1">
        <f t="array" ref="AF43">-L2WD*((1+L2INCP)^(AA43-L2Delay))*(AA43&lt;ProjTerm)*(AA43&gt;=L2Delay)*(SingJt="J")</f>
        <v>0</v>
      </c>
      <c r="AG43" s="221">
        <f>MAX(AG42*(1+GrsGrth)+Working!AE43,0)</f>
        <v>0</v>
      </c>
      <c r="AH43" s="221">
        <f>MAX(AH42*(1+GrsGrth)+Working!AF43,0)</f>
        <v>0</v>
      </c>
      <c r="AI43" s="221">
        <f>MAX(AI42*(1+GrsGrth)+Working!AE43,0)</f>
        <v>0</v>
      </c>
      <c r="AJ43" s="221">
        <f>MAX(AJ42*(1+GrsGrth)+Working!AF43,0)</f>
        <v>0</v>
      </c>
      <c r="AK43" s="222">
        <f t="shared" si="5"/>
        <v>0</v>
      </c>
    </row>
    <row r="44" spans="5:37" x14ac:dyDescent="0.3">
      <c r="AA44" s="149">
        <f t="shared" si="2"/>
        <v>38</v>
      </c>
      <c r="AB44" s="149">
        <f t="shared" ca="1" si="3"/>
        <v>2063</v>
      </c>
      <c r="AC44" s="150"/>
      <c r="AD44" s="150"/>
      <c r="AE44" s="222" cm="1">
        <f t="array" ref="AE44">-L1WD*((1+L1INCP)^(AA44-L1Delay))*(AA44&lt;ProjTerm)*(AA44&gt;=L1Delay)</f>
        <v>0</v>
      </c>
      <c r="AF44" s="222" cm="1">
        <f t="array" ref="AF44">-L2WD*((1+L2INCP)^(AA44-L2Delay))*(AA44&lt;ProjTerm)*(AA44&gt;=L2Delay)*(SingJt="J")</f>
        <v>0</v>
      </c>
      <c r="AG44" s="221">
        <f>MAX(AG43*(1+GrsGrth)+Working!AE44,0)</f>
        <v>0</v>
      </c>
      <c r="AH44" s="221">
        <f>MAX(AH43*(1+GrsGrth)+Working!AF44,0)</f>
        <v>0</v>
      </c>
      <c r="AI44" s="221">
        <f>MAX(AI43*(1+GrsGrth)+Working!AE44,0)</f>
        <v>0</v>
      </c>
      <c r="AJ44" s="221">
        <f>MAX(AJ43*(1+GrsGrth)+Working!AF44,0)</f>
        <v>0</v>
      </c>
      <c r="AK44" s="222">
        <f t="shared" si="5"/>
        <v>0</v>
      </c>
    </row>
    <row r="45" spans="5:37" x14ac:dyDescent="0.3">
      <c r="AA45" s="149">
        <f t="shared" si="2"/>
        <v>39</v>
      </c>
      <c r="AB45" s="149">
        <f t="shared" ca="1" si="3"/>
        <v>2064</v>
      </c>
      <c r="AC45" s="150"/>
      <c r="AD45" s="150"/>
      <c r="AE45" s="222" cm="1">
        <f t="array" ref="AE45">-L1WD*((1+L1INCP)^(AA45-L1Delay))*(AA45&lt;ProjTerm)*(AA45&gt;=L1Delay)</f>
        <v>0</v>
      </c>
      <c r="AF45" s="222" cm="1">
        <f t="array" ref="AF45">-L2WD*((1+L2INCP)^(AA45-L2Delay))*(AA45&lt;ProjTerm)*(AA45&gt;=L2Delay)*(SingJt="J")</f>
        <v>0</v>
      </c>
      <c r="AG45" s="221">
        <f>MAX(AG44*(1+GrsGrth)+Working!AE45,0)</f>
        <v>0</v>
      </c>
      <c r="AH45" s="221">
        <f>MAX(AH44*(1+GrsGrth)+Working!AF45,0)</f>
        <v>0</v>
      </c>
      <c r="AI45" s="221">
        <f>MAX(AI44*(1+GrsGrth)+Working!AE45,0)</f>
        <v>0</v>
      </c>
      <c r="AJ45" s="221">
        <f>MAX(AJ44*(1+GrsGrth)+Working!AF45,0)</f>
        <v>0</v>
      </c>
      <c r="AK45" s="222">
        <f t="shared" si="5"/>
        <v>0</v>
      </c>
    </row>
    <row r="46" spans="5:37" x14ac:dyDescent="0.3">
      <c r="AA46" s="149">
        <f t="shared" si="2"/>
        <v>40</v>
      </c>
      <c r="AB46" s="149">
        <f t="shared" ca="1" si="3"/>
        <v>2065</v>
      </c>
      <c r="AC46" s="150"/>
      <c r="AD46" s="150"/>
      <c r="AE46" s="222" cm="1">
        <f t="array" ref="AE46">-L1WD*((1+L1INCP)^(AA46-L1Delay))*(AA46&lt;ProjTerm)*(AA46&gt;=L1Delay)</f>
        <v>0</v>
      </c>
      <c r="AF46" s="222" cm="1">
        <f t="array" ref="AF46">-L2WD*((1+L2INCP)^(AA46-L2Delay))*(AA46&lt;ProjTerm)*(AA46&gt;=L2Delay)*(SingJt="J")</f>
        <v>0</v>
      </c>
      <c r="AG46" s="221">
        <f>MAX(AG45*(1+GrsGrth)+Working!AE46,0)</f>
        <v>0</v>
      </c>
      <c r="AH46" s="221">
        <f>MAX(AH45*(1+GrsGrth)+Working!AF46,0)</f>
        <v>0</v>
      </c>
      <c r="AI46" s="221">
        <f>MAX(AI45*(1+GrsGrth)+Working!AE46,0)</f>
        <v>0</v>
      </c>
      <c r="AJ46" s="221">
        <f>MAX(AJ45*(1+GrsGrth)+Working!AF46,0)</f>
        <v>0</v>
      </c>
      <c r="AK46" s="222">
        <f t="shared" si="5"/>
        <v>0</v>
      </c>
    </row>
    <row r="47" spans="5:37" x14ac:dyDescent="0.3">
      <c r="AA47" s="149">
        <f t="shared" si="2"/>
        <v>41</v>
      </c>
      <c r="AB47" s="149">
        <f t="shared" ca="1" si="3"/>
        <v>2066</v>
      </c>
      <c r="AC47" s="150"/>
      <c r="AD47" s="150"/>
      <c r="AE47" s="222" cm="1">
        <f t="array" ref="AE47">-L1WD*((1+L1INCP)^(AA47-L1Delay))*(AA47&lt;ProjTerm)*(AA47&gt;=L1Delay)</f>
        <v>0</v>
      </c>
      <c r="AF47" s="222" cm="1">
        <f t="array" ref="AF47">-L2WD*((1+L2INCP)^(AA47-L2Delay))*(AA47&lt;ProjTerm)*(AA47&gt;=L2Delay)*(SingJt="J")</f>
        <v>0</v>
      </c>
      <c r="AG47" s="221">
        <f>MAX(AG46*(1+GrsGrth)+Working!AE47,0)</f>
        <v>0</v>
      </c>
      <c r="AH47" s="221">
        <f>MAX(AH46*(1+GrsGrth)+Working!AF47,0)</f>
        <v>0</v>
      </c>
      <c r="AI47" s="221">
        <f>MAX(AI46*(1+GrsGrth)+Working!AE47,0)</f>
        <v>0</v>
      </c>
      <c r="AJ47" s="221">
        <f>MAX(AJ46*(1+GrsGrth)+Working!AF47,0)</f>
        <v>0</v>
      </c>
      <c r="AK47" s="222">
        <f t="shared" si="5"/>
        <v>0</v>
      </c>
    </row>
    <row r="48" spans="5:37" x14ac:dyDescent="0.3">
      <c r="AA48" s="149">
        <f t="shared" si="2"/>
        <v>42</v>
      </c>
      <c r="AB48" s="149">
        <f t="shared" ca="1" si="3"/>
        <v>2067</v>
      </c>
      <c r="AC48" s="150"/>
      <c r="AD48" s="150"/>
      <c r="AE48" s="222" cm="1">
        <f t="array" ref="AE48">-L1WD*((1+L1INCP)^(AA48-L1Delay))*(AA48&lt;ProjTerm)*(AA48&gt;=L1Delay)</f>
        <v>0</v>
      </c>
      <c r="AF48" s="222" cm="1">
        <f t="array" ref="AF48">-L2WD*((1+L2INCP)^(AA48-L2Delay))*(AA48&lt;ProjTerm)*(AA48&gt;=L2Delay)*(SingJt="J")</f>
        <v>0</v>
      </c>
      <c r="AG48" s="221">
        <f>MAX(AG47*(1+GrsGrth)+Working!AE48,0)</f>
        <v>0</v>
      </c>
      <c r="AH48" s="221">
        <f>MAX(AH47*(1+GrsGrth)+Working!AF48,0)</f>
        <v>0</v>
      </c>
      <c r="AI48" s="221">
        <f>MAX(AI47*(1+GrsGrth)+Working!AE48,0)</f>
        <v>0</v>
      </c>
      <c r="AJ48" s="221">
        <f>MAX(AJ47*(1+GrsGrth)+Working!AF48,0)</f>
        <v>0</v>
      </c>
      <c r="AK48" s="222">
        <f t="shared" si="5"/>
        <v>0</v>
      </c>
    </row>
    <row r="49" spans="27:37" x14ac:dyDescent="0.3">
      <c r="AA49" s="149">
        <f t="shared" si="2"/>
        <v>43</v>
      </c>
      <c r="AB49" s="149">
        <f t="shared" ca="1" si="3"/>
        <v>2068</v>
      </c>
      <c r="AC49" s="150"/>
      <c r="AD49" s="150"/>
      <c r="AE49" s="222" cm="1">
        <f t="array" ref="AE49">-L1WD*((1+L1INCP)^(AA49-L1Delay))*(AA49&lt;ProjTerm)*(AA49&gt;=L1Delay)</f>
        <v>0</v>
      </c>
      <c r="AF49" s="222" cm="1">
        <f t="array" ref="AF49">-L2WD*((1+L2INCP)^(AA49-L2Delay))*(AA49&lt;ProjTerm)*(AA49&gt;=L2Delay)*(SingJt="J")</f>
        <v>0</v>
      </c>
      <c r="AG49" s="221">
        <f>MAX(AG48*(1+GrsGrth)+Working!AE49,0)</f>
        <v>0</v>
      </c>
      <c r="AH49" s="221">
        <f>MAX(AH48*(1+GrsGrth)+Working!AF49,0)</f>
        <v>0</v>
      </c>
      <c r="AI49" s="221">
        <f>MAX(AI48*(1+GrsGrth)+Working!AE49,0)</f>
        <v>0</v>
      </c>
      <c r="AJ49" s="221">
        <f>MAX(AJ48*(1+GrsGrth)+Working!AF49,0)</f>
        <v>0</v>
      </c>
      <c r="AK49" s="222">
        <f t="shared" si="5"/>
        <v>0</v>
      </c>
    </row>
    <row r="50" spans="27:37" x14ac:dyDescent="0.3">
      <c r="AA50" s="149">
        <f t="shared" si="2"/>
        <v>44</v>
      </c>
      <c r="AB50" s="149">
        <f t="shared" ca="1" si="3"/>
        <v>2069</v>
      </c>
      <c r="AC50" s="150"/>
      <c r="AD50" s="150"/>
      <c r="AE50" s="222" cm="1">
        <f t="array" ref="AE50">-L1WD*((1+L1INCP)^(AA50-L1Delay))*(AA50&lt;ProjTerm)*(AA50&gt;=L1Delay)</f>
        <v>0</v>
      </c>
      <c r="AF50" s="222" cm="1">
        <f t="array" ref="AF50">-L2WD*((1+L2INCP)^(AA50-L2Delay))*(AA50&lt;ProjTerm)*(AA50&gt;=L2Delay)*(SingJt="J")</f>
        <v>0</v>
      </c>
      <c r="AG50" s="221">
        <f>MAX(AG49*(1+GrsGrth)+Working!AE50,0)</f>
        <v>0</v>
      </c>
      <c r="AH50" s="221">
        <f>MAX(AH49*(1+GrsGrth)+Working!AF50,0)</f>
        <v>0</v>
      </c>
      <c r="AI50" s="221">
        <f>MAX(AI49*(1+GrsGrth)+Working!AE50,0)</f>
        <v>0</v>
      </c>
      <c r="AJ50" s="221">
        <f>MAX(AJ49*(1+GrsGrth)+Working!AF50,0)</f>
        <v>0</v>
      </c>
      <c r="AK50" s="222">
        <f t="shared" si="5"/>
        <v>0</v>
      </c>
    </row>
    <row r="51" spans="27:37" x14ac:dyDescent="0.3">
      <c r="AA51" s="149">
        <f t="shared" si="2"/>
        <v>45</v>
      </c>
      <c r="AB51" s="149">
        <f t="shared" ca="1" si="3"/>
        <v>2070</v>
      </c>
      <c r="AC51" s="150"/>
      <c r="AD51" s="150"/>
      <c r="AE51" s="222" cm="1">
        <f t="array" ref="AE51">-L1WD*((1+L1INCP)^(AA51-L1Delay))*(AA51&lt;ProjTerm)*(AA51&gt;=L1Delay)</f>
        <v>0</v>
      </c>
      <c r="AF51" s="222" cm="1">
        <f t="array" ref="AF51">-L2WD*((1+L2INCP)^(AA51-L2Delay))*(AA51&lt;ProjTerm)*(AA51&gt;=L2Delay)*(SingJt="J")</f>
        <v>0</v>
      </c>
      <c r="AG51" s="221">
        <f>MAX(AG50*(1+GrsGrth)+Working!AE51,0)</f>
        <v>0</v>
      </c>
      <c r="AH51" s="221">
        <f>MAX(AH50*(1+GrsGrth)+Working!AF51,0)</f>
        <v>0</v>
      </c>
      <c r="AI51" s="221">
        <f>MAX(AI50*(1+GrsGrth)+Working!AE51,0)</f>
        <v>0</v>
      </c>
      <c r="AJ51" s="221">
        <f>MAX(AJ50*(1+GrsGrth)+Working!AF51,0)</f>
        <v>0</v>
      </c>
      <c r="AK51" s="222">
        <f t="shared" si="5"/>
        <v>0</v>
      </c>
    </row>
    <row r="52" spans="27:37" x14ac:dyDescent="0.3">
      <c r="AA52" s="149">
        <f t="shared" si="2"/>
        <v>46</v>
      </c>
      <c r="AB52" s="149">
        <f t="shared" ca="1" si="3"/>
        <v>2071</v>
      </c>
      <c r="AC52" s="150"/>
      <c r="AD52" s="150"/>
      <c r="AE52" s="222" cm="1">
        <f t="array" ref="AE52">-L1WD*((1+L1INCP)^(AA52-L1Delay))*(AA52&lt;ProjTerm)*(AA52&gt;=L1Delay)</f>
        <v>0</v>
      </c>
      <c r="AF52" s="222" cm="1">
        <f t="array" ref="AF52">-L2WD*((1+L2INCP)^(AA52-L2Delay))*(AA52&lt;ProjTerm)*(AA52&gt;=L2Delay)*(SingJt="J")</f>
        <v>0</v>
      </c>
      <c r="AG52" s="221">
        <f>MAX(AG51*(1+GrsGrth)+Working!AE52,0)</f>
        <v>0</v>
      </c>
      <c r="AH52" s="221">
        <f>MAX(AH51*(1+GrsGrth)+Working!AF52,0)</f>
        <v>0</v>
      </c>
      <c r="AI52" s="221">
        <f>MAX(AI51*(1+GrsGrth)+Working!AE52,0)</f>
        <v>0</v>
      </c>
      <c r="AJ52" s="221">
        <f>MAX(AJ51*(1+GrsGrth)+Working!AF52,0)</f>
        <v>0</v>
      </c>
      <c r="AK52" s="222">
        <f t="shared" si="5"/>
        <v>0</v>
      </c>
    </row>
    <row r="53" spans="27:37" x14ac:dyDescent="0.3">
      <c r="AA53" s="149">
        <f t="shared" si="2"/>
        <v>47</v>
      </c>
      <c r="AB53" s="149">
        <f t="shared" ca="1" si="3"/>
        <v>2072</v>
      </c>
      <c r="AC53" s="150"/>
      <c r="AD53" s="150"/>
      <c r="AE53" s="222" cm="1">
        <f t="array" ref="AE53">-L1WD*((1+L1INCP)^(AA53-L1Delay))*(AA53&lt;ProjTerm)*(AA53&gt;=L1Delay)</f>
        <v>0</v>
      </c>
      <c r="AF53" s="222" cm="1">
        <f t="array" ref="AF53">-L2WD*((1+L2INCP)^(AA53-L2Delay))*(AA53&lt;ProjTerm)*(AA53&gt;=L2Delay)*(SingJt="J")</f>
        <v>0</v>
      </c>
      <c r="AG53" s="221">
        <f>MAX(AG52*(1+GrsGrth)+Working!AE53,0)</f>
        <v>0</v>
      </c>
      <c r="AH53" s="221">
        <f>MAX(AH52*(1+GrsGrth)+Working!AF53,0)</f>
        <v>0</v>
      </c>
      <c r="AI53" s="221">
        <f>MAX(AI52*(1+GrsGrth)+Working!AE53,0)</f>
        <v>0</v>
      </c>
      <c r="AJ53" s="221">
        <f>MAX(AJ52*(1+GrsGrth)+Working!AF53,0)</f>
        <v>0</v>
      </c>
      <c r="AK53" s="222">
        <f t="shared" si="5"/>
        <v>0</v>
      </c>
    </row>
    <row r="54" spans="27:37" x14ac:dyDescent="0.3">
      <c r="AA54" s="149">
        <f t="shared" si="2"/>
        <v>48</v>
      </c>
      <c r="AB54" s="149">
        <f t="shared" ca="1" si="3"/>
        <v>2073</v>
      </c>
      <c r="AC54" s="150"/>
      <c r="AD54" s="150"/>
      <c r="AE54" s="222" cm="1">
        <f t="array" ref="AE54">-L1WD*((1+L1INCP)^(AA54-L1Delay))*(AA54&lt;ProjTerm)*(AA54&gt;=L1Delay)</f>
        <v>0</v>
      </c>
      <c r="AF54" s="222" cm="1">
        <f t="array" ref="AF54">-L2WD*((1+L2INCP)^(AA54-L2Delay))*(AA54&lt;ProjTerm)*(AA54&gt;=L2Delay)*(SingJt="J")</f>
        <v>0</v>
      </c>
      <c r="AG54" s="221">
        <f>MAX(AG53*(1+GrsGrth)+Working!AE54,0)</f>
        <v>0</v>
      </c>
      <c r="AH54" s="221">
        <f>MAX(AH53*(1+GrsGrth)+Working!AF54,0)</f>
        <v>0</v>
      </c>
      <c r="AI54" s="221">
        <f>MAX(AI53*(1+GrsGrth)+Working!AE54,0)</f>
        <v>0</v>
      </c>
      <c r="AJ54" s="221">
        <f>MAX(AJ53*(1+GrsGrth)+Working!AF54,0)</f>
        <v>0</v>
      </c>
      <c r="AK54" s="222">
        <f t="shared" si="5"/>
        <v>0</v>
      </c>
    </row>
    <row r="55" spans="27:37" x14ac:dyDescent="0.3">
      <c r="AA55" s="149">
        <f t="shared" si="2"/>
        <v>49</v>
      </c>
      <c r="AB55" s="149">
        <f t="shared" ca="1" si="3"/>
        <v>2074</v>
      </c>
      <c r="AC55" s="150"/>
      <c r="AD55" s="150"/>
      <c r="AE55" s="222" cm="1">
        <f t="array" ref="AE55">-L1WD*((1+L1INCP)^(AA55-L1Delay))*(AA55&lt;ProjTerm)*(AA55&gt;=L1Delay)</f>
        <v>0</v>
      </c>
      <c r="AF55" s="222" cm="1">
        <f t="array" ref="AF55">-L2WD*((1+L2INCP)^(AA55-L2Delay))*(AA55&lt;ProjTerm)*(AA55&gt;=L2Delay)*(SingJt="J")</f>
        <v>0</v>
      </c>
      <c r="AG55" s="221">
        <f>MAX(AG54*(1+GrsGrth)+Working!AE55,0)</f>
        <v>0</v>
      </c>
      <c r="AH55" s="221">
        <f>MAX(AH54*(1+GrsGrth)+Working!AF55,0)</f>
        <v>0</v>
      </c>
      <c r="AI55" s="221">
        <f>MAX(AI54*(1+GrsGrth)+Working!AE55,0)</f>
        <v>0</v>
      </c>
      <c r="AJ55" s="221">
        <f>MAX(AJ54*(1+GrsGrth)+Working!AF55,0)</f>
        <v>0</v>
      </c>
      <c r="AK55" s="222">
        <f t="shared" si="5"/>
        <v>0</v>
      </c>
    </row>
    <row r="56" spans="27:37" x14ac:dyDescent="0.3">
      <c r="AA56" s="149">
        <f t="shared" si="2"/>
        <v>50</v>
      </c>
      <c r="AB56" s="149">
        <f t="shared" ca="1" si="3"/>
        <v>2075</v>
      </c>
      <c r="AC56" s="150"/>
      <c r="AD56" s="150"/>
      <c r="AE56" s="222" cm="1">
        <f t="array" ref="AE56">-L1WD*((1+L1INCP)^(AA56-L1Delay))*(AA56&lt;ProjTerm)*(AA56&gt;=L1Delay)</f>
        <v>0</v>
      </c>
      <c r="AF56" s="222" cm="1">
        <f t="array" ref="AF56">-L2WD*((1+L2INCP)^(AA56-L2Delay))*(AA56&lt;ProjTerm)*(AA56&gt;=L2Delay)*(SingJt="J")</f>
        <v>0</v>
      </c>
      <c r="AG56" s="221">
        <f>MAX(AG55*(1+GrsGrth)+Working!AE56,0)</f>
        <v>0</v>
      </c>
      <c r="AH56" s="221">
        <f>MAX(AH55*(1+GrsGrth)+Working!AF56,0)</f>
        <v>0</v>
      </c>
      <c r="AI56" s="221">
        <f>MAX(AI55*(1+GrsGrth)+Working!AE56,0)</f>
        <v>0</v>
      </c>
      <c r="AJ56" s="221">
        <f>MAX(AJ55*(1+GrsGrth)+Working!AF56,0)</f>
        <v>0</v>
      </c>
      <c r="AK56" s="222">
        <f t="shared" si="5"/>
        <v>0</v>
      </c>
    </row>
    <row r="57" spans="27:37" x14ac:dyDescent="0.3">
      <c r="AA57" s="149">
        <f t="shared" si="2"/>
        <v>51</v>
      </c>
      <c r="AB57" s="149">
        <f t="shared" ca="1" si="3"/>
        <v>2076</v>
      </c>
      <c r="AC57" s="150"/>
      <c r="AD57" s="150"/>
      <c r="AE57" s="222" cm="1">
        <f t="array" ref="AE57">-L1WD*((1+L1INCP)^(AA57-L1Delay))*(AA57&lt;ProjTerm)*(AA57&gt;=L1Delay)</f>
        <v>0</v>
      </c>
      <c r="AF57" s="222" cm="1">
        <f t="array" ref="AF57">-L2WD*((1+L2INCP)^(AA57-L2Delay))*(AA57&lt;ProjTerm)*(AA57&gt;=L2Delay)*(SingJt="J")</f>
        <v>0</v>
      </c>
      <c r="AG57" s="221">
        <f>MAX(AG56*(1+GrsGrth)+Working!AE57,0)</f>
        <v>0</v>
      </c>
      <c r="AH57" s="221">
        <f>MAX(AH56*(1+GrsGrth)+Working!AF57,0)</f>
        <v>0</v>
      </c>
      <c r="AI57" s="221">
        <f>MAX(AI56*(1+GrsGrth)+Working!AE57,0)</f>
        <v>0</v>
      </c>
      <c r="AJ57" s="221">
        <f>MAX(AJ56*(1+GrsGrth)+Working!AF57,0)</f>
        <v>0</v>
      </c>
      <c r="AK57" s="222">
        <f t="shared" si="5"/>
        <v>0</v>
      </c>
    </row>
    <row r="58" spans="27:37" x14ac:dyDescent="0.3">
      <c r="AA58" s="149">
        <f t="shared" si="2"/>
        <v>52</v>
      </c>
      <c r="AB58" s="149">
        <f t="shared" ca="1" si="3"/>
        <v>2077</v>
      </c>
      <c r="AC58" s="150"/>
      <c r="AD58" s="150"/>
      <c r="AE58" s="222" cm="1">
        <f t="array" ref="AE58">-L1WD*((1+L1INCP)^(AA58-L1Delay))*(AA58&lt;ProjTerm)*(AA58&gt;=L1Delay)</f>
        <v>0</v>
      </c>
      <c r="AF58" s="222" cm="1">
        <f t="array" ref="AF58">-L2WD*((1+L2INCP)^(AA58-L2Delay))*(AA58&lt;ProjTerm)*(AA58&gt;=L2Delay)*(SingJt="J")</f>
        <v>0</v>
      </c>
      <c r="AG58" s="221">
        <f>MAX(AG57*(1+GrsGrth)+Working!AE58,0)</f>
        <v>0</v>
      </c>
      <c r="AH58" s="221">
        <f>MAX(AH57*(1+GrsGrth)+Working!AF58,0)</f>
        <v>0</v>
      </c>
      <c r="AI58" s="221">
        <f>MAX(AI57*(1+GrsGrth)+Working!AE58,0)</f>
        <v>0</v>
      </c>
      <c r="AJ58" s="221">
        <f>MAX(AJ57*(1+GrsGrth)+Working!AF58,0)</f>
        <v>0</v>
      </c>
      <c r="AK58" s="222">
        <f t="shared" si="5"/>
        <v>0</v>
      </c>
    </row>
    <row r="59" spans="27:37" x14ac:dyDescent="0.3">
      <c r="AA59" s="149">
        <f t="shared" si="2"/>
        <v>53</v>
      </c>
      <c r="AB59" s="149">
        <f t="shared" ca="1" si="3"/>
        <v>2078</v>
      </c>
      <c r="AC59" s="150"/>
      <c r="AD59" s="150"/>
      <c r="AE59" s="222" cm="1">
        <f t="array" ref="AE59">-L1WD*((1+L1INCP)^(AA59-L1Delay))*(AA59&lt;ProjTerm)*(AA59&gt;=L1Delay)</f>
        <v>0</v>
      </c>
      <c r="AF59" s="222" cm="1">
        <f t="array" ref="AF59">-L2WD*((1+L2INCP)^(AA59-L2Delay))*(AA59&lt;ProjTerm)*(AA59&gt;=L2Delay)*(SingJt="J")</f>
        <v>0</v>
      </c>
      <c r="AG59" s="221">
        <f>MAX(AG58*(1+GrsGrth)+Working!AE59,0)</f>
        <v>0</v>
      </c>
      <c r="AH59" s="221">
        <f>MAX(AH58*(1+GrsGrth)+Working!AF59,0)</f>
        <v>0</v>
      </c>
      <c r="AI59" s="221">
        <f>MAX(AI58*(1+GrsGrth)+Working!AE59,0)</f>
        <v>0</v>
      </c>
      <c r="AJ59" s="221">
        <f>MAX(AJ58*(1+GrsGrth)+Working!AF59,0)</f>
        <v>0</v>
      </c>
      <c r="AK59" s="222">
        <f t="shared" si="5"/>
        <v>0</v>
      </c>
    </row>
    <row r="60" spans="27:37" x14ac:dyDescent="0.3">
      <c r="AA60" s="149">
        <f t="shared" si="2"/>
        <v>54</v>
      </c>
      <c r="AB60" s="149">
        <f t="shared" ca="1" si="3"/>
        <v>2079</v>
      </c>
      <c r="AC60" s="150"/>
      <c r="AD60" s="150"/>
      <c r="AE60" s="222" cm="1">
        <f t="array" ref="AE60">-L1WD*((1+L1INCP)^(AA60-L1Delay))*(AA60&lt;ProjTerm)*(AA60&gt;=L1Delay)</f>
        <v>0</v>
      </c>
      <c r="AF60" s="222" cm="1">
        <f t="array" ref="AF60">-L2WD*((1+L2INCP)^(AA60-L2Delay))*(AA60&lt;ProjTerm)*(AA60&gt;=L2Delay)*(SingJt="J")</f>
        <v>0</v>
      </c>
      <c r="AG60" s="221">
        <f>MAX(AG59*(1+GrsGrth)+Working!AE60,0)</f>
        <v>0</v>
      </c>
      <c r="AH60" s="221">
        <f>MAX(AH59*(1+GrsGrth)+Working!AF60,0)</f>
        <v>0</v>
      </c>
      <c r="AI60" s="221">
        <f>MAX(AI59*(1+GrsGrth)+Working!AE60,0)</f>
        <v>0</v>
      </c>
      <c r="AJ60" s="221">
        <f>MAX(AJ59*(1+GrsGrth)+Working!AF60,0)</f>
        <v>0</v>
      </c>
      <c r="AK60" s="222">
        <f t="shared" si="5"/>
        <v>0</v>
      </c>
    </row>
    <row r="61" spans="27:37" x14ac:dyDescent="0.3">
      <c r="AA61" s="149">
        <f t="shared" si="2"/>
        <v>55</v>
      </c>
      <c r="AB61" s="149">
        <f t="shared" ca="1" si="3"/>
        <v>2080</v>
      </c>
      <c r="AC61" s="150"/>
      <c r="AD61" s="150"/>
      <c r="AE61" s="222" cm="1">
        <f t="array" ref="AE61">-L1WD*((1+L1INCP)^(AA61-L1Delay))*(AA61&lt;ProjTerm)*(AA61&gt;=L1Delay)</f>
        <v>0</v>
      </c>
      <c r="AF61" s="222" cm="1">
        <f t="array" ref="AF61">-L2WD*((1+L2INCP)^(AA61-L2Delay))*(AA61&lt;ProjTerm)*(AA61&gt;=L2Delay)*(SingJt="J")</f>
        <v>0</v>
      </c>
      <c r="AG61" s="221">
        <f>MAX(AG60*(1+GrsGrth)+Working!AE61,0)</f>
        <v>0</v>
      </c>
      <c r="AH61" s="221">
        <f>MAX(AH60*(1+GrsGrth)+Working!AF61,0)</f>
        <v>0</v>
      </c>
      <c r="AI61" s="221">
        <f>MAX(AI60*(1+GrsGrth)+Working!AE61,0)</f>
        <v>0</v>
      </c>
      <c r="AJ61" s="221">
        <f>MAX(AJ60*(1+GrsGrth)+Working!AF61,0)</f>
        <v>0</v>
      </c>
      <c r="AK61" s="222">
        <f t="shared" si="5"/>
        <v>0</v>
      </c>
    </row>
    <row r="62" spans="27:37" x14ac:dyDescent="0.3">
      <c r="AF62" s="224"/>
    </row>
    <row r="63" spans="27:37" x14ac:dyDescent="0.3">
      <c r="AF63" s="224"/>
    </row>
  </sheetData>
  <mergeCells count="4">
    <mergeCell ref="AG2:AG3"/>
    <mergeCell ref="AH2:AH3"/>
    <mergeCell ref="AI2:AI3"/>
    <mergeCell ref="AJ2:AJ3"/>
  </mergeCells>
  <phoneticPr fontId="33" type="noConversion"/>
  <conditionalFormatting sqref="AG2:AJ2">
    <cfRule type="expression" dxfId="3" priority="4">
      <formula>$E$10&lt;&gt;""</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C4B43682-BC46-422F-AD58-A0F925D73F86}">
            <xm:f>ROUND($AG6,0)=ROUND(Calcs!$J$17,0)</xm:f>
            <x14:dxf>
              <font>
                <color theme="0"/>
              </font>
              <fill>
                <patternFill>
                  <bgColor rgb="FF00B050"/>
                </patternFill>
              </fill>
            </x14:dxf>
          </x14:cfRule>
          <xm:sqref>AG6:AG61</xm:sqref>
        </x14:conditionalFormatting>
        <x14:conditionalFormatting xmlns:xm="http://schemas.microsoft.com/office/excel/2006/main">
          <x14:cfRule type="expression" priority="8" id="{91E818B9-86E5-4CF2-AB31-1D6813D8EE2B}">
            <xm:f>ROUND($AH6,0)=ROUND(Calcs!$J$18,0)</xm:f>
            <x14:dxf>
              <font>
                <color theme="0"/>
              </font>
              <fill>
                <patternFill>
                  <bgColor rgb="FF00B050"/>
                </patternFill>
              </fill>
            </x14:dxf>
          </x14:cfRule>
          <xm:sqref>AH6:AH61 AJ6:AJ61</xm:sqref>
        </x14:conditionalFormatting>
        <x14:conditionalFormatting xmlns:xm="http://schemas.microsoft.com/office/excel/2006/main">
          <x14:cfRule type="expression" priority="1" id="{9C1BF397-D797-49DE-9639-B9EC36888172}">
            <xm:f>ROUND($AI6,0)=ROUND(Calcs!$K$17,0)</xm:f>
            <x14:dxf>
              <font>
                <color theme="0"/>
              </font>
              <fill>
                <patternFill>
                  <bgColor rgb="FF00B050"/>
                </patternFill>
              </fill>
            </x14:dxf>
          </x14:cfRule>
          <xm:sqref>AI6:AI61</xm:sqref>
        </x14:conditionalFormatting>
        <x14:conditionalFormatting xmlns:xm="http://schemas.microsoft.com/office/excel/2006/main">
          <x14:cfRule type="expression" priority="3" id="{A5EFBABA-8230-413F-BAD4-0D9C13F0E05B}">
            <xm:f>$AK6=Calcs!$K$25</xm:f>
            <x14:dxf>
              <font>
                <color theme="0"/>
              </font>
              <fill>
                <patternFill>
                  <bgColor rgb="FF00B050"/>
                </patternFill>
              </fill>
            </x14:dxf>
          </x14:cfRule>
          <xm:sqref>AK6:AK61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AC204-0BB5-40EC-A9ED-2F24255780EE}">
  <sheetPr codeName="Sheet7"/>
  <dimension ref="B1:AB109"/>
  <sheetViews>
    <sheetView topLeftCell="A3" workbookViewId="0">
      <selection sqref="A1:XFD1048576"/>
    </sheetView>
  </sheetViews>
  <sheetFormatPr defaultColWidth="9.109375" defaultRowHeight="14.4" x14ac:dyDescent="0.3"/>
  <cols>
    <col min="1" max="2" width="9.109375" style="5"/>
    <col min="3" max="3" width="10.6640625" style="5" customWidth="1"/>
    <col min="4" max="4" width="9.6640625" style="5" bestFit="1" customWidth="1"/>
    <col min="5" max="5" width="8" style="5" bestFit="1" customWidth="1"/>
    <col min="6" max="6" width="10.109375" style="5" bestFit="1" customWidth="1"/>
    <col min="7" max="7" width="13.6640625" style="5" bestFit="1" customWidth="1"/>
    <col min="8" max="8" width="9.6640625" style="5" bestFit="1" customWidth="1"/>
    <col min="9" max="9" width="8" style="5" bestFit="1" customWidth="1"/>
    <col min="10" max="10" width="10.109375" style="5" bestFit="1" customWidth="1"/>
    <col min="11" max="11" width="16" style="5" customWidth="1"/>
    <col min="12" max="16384" width="9.109375" style="5"/>
  </cols>
  <sheetData>
    <row r="1" spans="2:28" x14ac:dyDescent="0.3">
      <c r="L1" s="189" t="s">
        <v>151</v>
      </c>
      <c r="M1" s="189"/>
      <c r="N1" s="189"/>
      <c r="O1" s="189"/>
      <c r="P1" s="189" t="s">
        <v>152</v>
      </c>
      <c r="Q1" s="189"/>
      <c r="R1" s="189"/>
      <c r="S1" s="189"/>
      <c r="T1" s="189"/>
      <c r="U1" s="189"/>
      <c r="V1" s="189"/>
      <c r="W1" s="189"/>
      <c r="X1" s="189"/>
      <c r="Y1" s="189"/>
      <c r="Z1" s="189"/>
      <c r="AA1" s="5" t="s">
        <v>153</v>
      </c>
    </row>
    <row r="2" spans="2:28" x14ac:dyDescent="0.3">
      <c r="L2" s="189"/>
      <c r="M2" s="189"/>
      <c r="N2" s="189"/>
      <c r="O2" s="189"/>
      <c r="P2" s="189" t="s">
        <v>154</v>
      </c>
      <c r="Q2" s="189"/>
      <c r="R2" s="189"/>
      <c r="S2" s="189"/>
      <c r="T2" s="189"/>
      <c r="U2" s="189"/>
      <c r="V2" s="189"/>
      <c r="W2" s="189"/>
      <c r="X2" s="189"/>
      <c r="Y2" s="189"/>
      <c r="Z2" s="189"/>
    </row>
    <row r="3" spans="2:28" x14ac:dyDescent="0.3">
      <c r="C3" s="190" t="s">
        <v>155</v>
      </c>
      <c r="D3" s="191">
        <f>Calcs!C14</f>
        <v>60</v>
      </c>
      <c r="E3" s="192"/>
      <c r="F3" s="192"/>
      <c r="G3" s="193" t="s">
        <v>156</v>
      </c>
      <c r="H3" s="191">
        <f>Calcs!C16</f>
        <v>60</v>
      </c>
      <c r="L3" s="189"/>
      <c r="M3" s="189"/>
      <c r="N3" s="189"/>
      <c r="O3" s="189"/>
      <c r="P3" s="189" t="s">
        <v>157</v>
      </c>
      <c r="Q3" s="189"/>
      <c r="R3" s="189"/>
      <c r="S3" s="189"/>
      <c r="T3" s="189"/>
      <c r="U3" s="189"/>
      <c r="V3" s="189"/>
      <c r="W3" s="189"/>
      <c r="X3" s="189"/>
      <c r="Y3" s="189"/>
      <c r="Z3" s="189"/>
    </row>
    <row r="4" spans="2:28" x14ac:dyDescent="0.3">
      <c r="C4" s="190" t="s">
        <v>158</v>
      </c>
      <c r="D4" s="191" t="str">
        <f>Calcs!C15</f>
        <v>M</v>
      </c>
      <c r="E4" s="192"/>
      <c r="F4" s="192"/>
      <c r="G4" s="193" t="s">
        <v>159</v>
      </c>
      <c r="H4" s="191" t="str">
        <f>Calcs!C17</f>
        <v>F</v>
      </c>
      <c r="K4" s="151" t="s">
        <v>160</v>
      </c>
    </row>
    <row r="5" spans="2:28" x14ac:dyDescent="0.3">
      <c r="C5" s="190" t="s">
        <v>161</v>
      </c>
      <c r="D5" s="194">
        <f>COUNTIF(D12:D109,"&gt;50%")</f>
        <v>24</v>
      </c>
      <c r="E5" s="192"/>
      <c r="F5" s="192"/>
      <c r="G5" s="193" t="s">
        <v>161</v>
      </c>
      <c r="H5" s="194">
        <f>COUNTIF(H12:H109,"&gt;50%")</f>
        <v>27</v>
      </c>
      <c r="K5" s="195" t="s">
        <v>162</v>
      </c>
      <c r="L5" s="149">
        <f>COUNTIF(L12:L109,"&gt;50%")</f>
        <v>30</v>
      </c>
      <c r="P5" s="196" t="s">
        <v>163</v>
      </c>
      <c r="Q5" s="196"/>
      <c r="R5" s="196"/>
      <c r="S5" s="196"/>
      <c r="T5" s="196"/>
      <c r="U5" s="196"/>
      <c r="V5" s="196"/>
      <c r="W5" s="196" t="s">
        <v>164</v>
      </c>
      <c r="X5" s="196"/>
      <c r="Y5" s="196"/>
      <c r="Z5" s="196"/>
      <c r="AA5" s="196"/>
      <c r="AB5" s="196"/>
    </row>
    <row r="6" spans="2:28" x14ac:dyDescent="0.3">
      <c r="C6" s="190" t="s">
        <v>165</v>
      </c>
      <c r="D6" s="194">
        <f>D5+D3</f>
        <v>84</v>
      </c>
      <c r="E6" s="192"/>
      <c r="F6" s="192"/>
      <c r="G6" s="193" t="s">
        <v>165</v>
      </c>
      <c r="H6" s="194">
        <f>H3+H5</f>
        <v>87</v>
      </c>
      <c r="P6" s="197" t="s">
        <v>166</v>
      </c>
      <c r="Q6" s="197" t="s">
        <v>167</v>
      </c>
      <c r="R6" s="197" t="s">
        <v>168</v>
      </c>
      <c r="S6" s="197" t="s">
        <v>169</v>
      </c>
      <c r="T6" s="197" t="s">
        <v>170</v>
      </c>
      <c r="U6" s="197" t="s">
        <v>171</v>
      </c>
      <c r="V6" s="197"/>
      <c r="W6" s="197" t="s">
        <v>166</v>
      </c>
      <c r="X6" s="197" t="s">
        <v>167</v>
      </c>
      <c r="Y6" s="197" t="s">
        <v>168</v>
      </c>
      <c r="Z6" s="197" t="s">
        <v>169</v>
      </c>
      <c r="AA6" s="197" t="s">
        <v>170</v>
      </c>
      <c r="AB6" s="197" t="s">
        <v>171</v>
      </c>
    </row>
    <row r="7" spans="2:28" x14ac:dyDescent="0.3">
      <c r="P7" s="198">
        <v>0</v>
      </c>
      <c r="Q7" s="198">
        <v>4.5319999999999996E-3</v>
      </c>
      <c r="R7" s="198">
        <v>4.5209999999999998E-3</v>
      </c>
      <c r="S7" s="198">
        <v>100000</v>
      </c>
      <c r="T7" s="198">
        <v>452.1</v>
      </c>
      <c r="U7" s="198">
        <v>78.819999999999993</v>
      </c>
      <c r="V7" s="198"/>
      <c r="W7" s="198">
        <v>0</v>
      </c>
      <c r="X7" s="198">
        <v>3.5820000000000001E-3</v>
      </c>
      <c r="Y7" s="198">
        <v>3.5760000000000002E-3</v>
      </c>
      <c r="Z7" s="198">
        <v>100000</v>
      </c>
      <c r="AA7" s="198">
        <v>357.6</v>
      </c>
      <c r="AB7" s="198">
        <v>82.77</v>
      </c>
    </row>
    <row r="8" spans="2:28" x14ac:dyDescent="0.3">
      <c r="P8" s="198">
        <v>1</v>
      </c>
      <c r="Q8" s="198">
        <v>2.4399999999999999E-4</v>
      </c>
      <c r="R8" s="198">
        <v>2.4399999999999999E-4</v>
      </c>
      <c r="S8" s="198">
        <v>99547.9</v>
      </c>
      <c r="T8" s="198">
        <v>24.3</v>
      </c>
      <c r="U8" s="198">
        <v>78.17</v>
      </c>
      <c r="V8" s="198"/>
      <c r="W8" s="198">
        <v>1</v>
      </c>
      <c r="X8" s="198">
        <v>2.1800000000000001E-4</v>
      </c>
      <c r="Y8" s="198">
        <v>2.1800000000000001E-4</v>
      </c>
      <c r="Z8" s="198">
        <v>99642.4</v>
      </c>
      <c r="AA8" s="198">
        <v>21.7</v>
      </c>
      <c r="AB8" s="198">
        <v>82.06</v>
      </c>
    </row>
    <row r="9" spans="2:28" x14ac:dyDescent="0.3">
      <c r="C9" s="199" t="s">
        <v>172</v>
      </c>
      <c r="P9" s="198">
        <v>2</v>
      </c>
      <c r="Q9" s="198">
        <v>1.65E-4</v>
      </c>
      <c r="R9" s="198">
        <v>1.65E-4</v>
      </c>
      <c r="S9" s="198">
        <v>99523.6</v>
      </c>
      <c r="T9" s="198">
        <v>16.399999999999999</v>
      </c>
      <c r="U9" s="198">
        <v>77.19</v>
      </c>
      <c r="V9" s="198"/>
      <c r="W9" s="198">
        <v>2</v>
      </c>
      <c r="X9" s="198">
        <v>1.37E-4</v>
      </c>
      <c r="Y9" s="198">
        <v>1.37E-4</v>
      </c>
      <c r="Z9" s="198">
        <v>99620.7</v>
      </c>
      <c r="AA9" s="198">
        <v>13.6</v>
      </c>
      <c r="AB9" s="198">
        <v>81.08</v>
      </c>
    </row>
    <row r="10" spans="2:28" x14ac:dyDescent="0.3">
      <c r="P10" s="198">
        <v>3</v>
      </c>
      <c r="Q10" s="198">
        <v>1.0900000000000001E-4</v>
      </c>
      <c r="R10" s="198">
        <v>1.0900000000000001E-4</v>
      </c>
      <c r="S10" s="198">
        <v>99507.199999999997</v>
      </c>
      <c r="T10" s="198">
        <v>10.9</v>
      </c>
      <c r="U10" s="198">
        <v>76.209999999999994</v>
      </c>
      <c r="V10" s="198"/>
      <c r="W10" s="198">
        <v>3</v>
      </c>
      <c r="X10" s="198">
        <v>9.2999999999999997E-5</v>
      </c>
      <c r="Y10" s="198">
        <v>9.2999999999999997E-5</v>
      </c>
      <c r="Z10" s="198">
        <v>99607.1</v>
      </c>
      <c r="AA10" s="198">
        <v>9.3000000000000007</v>
      </c>
      <c r="AB10" s="198">
        <v>80.09</v>
      </c>
    </row>
    <row r="11" spans="2:28" x14ac:dyDescent="0.3">
      <c r="D11" s="151" t="s">
        <v>173</v>
      </c>
      <c r="E11" s="151" t="s">
        <v>174</v>
      </c>
      <c r="F11" s="151" t="s">
        <v>175</v>
      </c>
      <c r="G11" s="151"/>
      <c r="H11" s="151" t="s">
        <v>176</v>
      </c>
      <c r="I11" s="151" t="s">
        <v>177</v>
      </c>
      <c r="J11" s="151" t="s">
        <v>178</v>
      </c>
      <c r="K11" s="151" t="s">
        <v>179</v>
      </c>
      <c r="L11" s="151" t="s">
        <v>180</v>
      </c>
      <c r="P11" s="198">
        <v>4</v>
      </c>
      <c r="Q11" s="198">
        <v>8.2999999999999998E-5</v>
      </c>
      <c r="R11" s="198">
        <v>8.2999999999999998E-5</v>
      </c>
      <c r="S11" s="198">
        <v>99496.3</v>
      </c>
      <c r="T11" s="198">
        <v>8.1999999999999993</v>
      </c>
      <c r="U11" s="198">
        <v>75.209999999999994</v>
      </c>
      <c r="V11" s="198"/>
      <c r="W11" s="198">
        <v>4</v>
      </c>
      <c r="X11" s="198">
        <v>7.3999999999999996E-5</v>
      </c>
      <c r="Y11" s="198">
        <v>7.3999999999999996E-5</v>
      </c>
      <c r="Z11" s="198">
        <v>99597.8</v>
      </c>
      <c r="AA11" s="198">
        <v>7.4</v>
      </c>
      <c r="AB11" s="198">
        <v>79.099999999999994</v>
      </c>
    </row>
    <row r="12" spans="2:28" x14ac:dyDescent="0.3">
      <c r="B12" s="149">
        <v>0</v>
      </c>
      <c r="C12" s="149">
        <f>D3</f>
        <v>60</v>
      </c>
      <c r="D12" s="200">
        <v>1</v>
      </c>
      <c r="E12" s="149">
        <f>IFERROR(VLOOKUP(C12,P:AB,4+7*(D$4="F"),0),0)</f>
        <v>90100.3</v>
      </c>
      <c r="F12" s="200">
        <f>1-D12</f>
        <v>0</v>
      </c>
      <c r="G12" s="149">
        <f>H3</f>
        <v>60</v>
      </c>
      <c r="H12" s="200">
        <v>1</v>
      </c>
      <c r="I12" s="149">
        <f>IFERROR(VLOOKUP(G12,P:AB,4+7*(H$4="F"),0),0)</f>
        <v>93815.7</v>
      </c>
      <c r="J12" s="200">
        <f>1-H12</f>
        <v>0</v>
      </c>
      <c r="K12" s="200">
        <f>F12*J12</f>
        <v>0</v>
      </c>
      <c r="L12" s="200">
        <f>1-K12</f>
        <v>1</v>
      </c>
      <c r="P12" s="198">
        <v>5</v>
      </c>
      <c r="Q12" s="198">
        <v>8.6000000000000003E-5</v>
      </c>
      <c r="R12" s="198">
        <v>8.6000000000000003E-5</v>
      </c>
      <c r="S12" s="198">
        <v>99488.1</v>
      </c>
      <c r="T12" s="198">
        <v>8.6</v>
      </c>
      <c r="U12" s="198">
        <v>74.22</v>
      </c>
      <c r="V12" s="198"/>
      <c r="W12" s="198">
        <v>5</v>
      </c>
      <c r="X12" s="198">
        <v>6.8999999999999997E-5</v>
      </c>
      <c r="Y12" s="198">
        <v>6.8999999999999997E-5</v>
      </c>
      <c r="Z12" s="198">
        <v>99590.399999999994</v>
      </c>
      <c r="AA12" s="198">
        <v>6.9</v>
      </c>
      <c r="AB12" s="198">
        <v>78.099999999999994</v>
      </c>
    </row>
    <row r="13" spans="2:28" x14ac:dyDescent="0.3">
      <c r="B13" s="149">
        <f>B12+1</f>
        <v>1</v>
      </c>
      <c r="C13" s="149">
        <f>C12+1</f>
        <v>61</v>
      </c>
      <c r="D13" s="201">
        <f>IFERROR(D12*E13/E12,0)</f>
        <v>0.99186573185660865</v>
      </c>
      <c r="E13" s="149">
        <f t="shared" ref="E13:E76" si="0">IFERROR(VLOOKUP(C13,P:AB,4+7*(D$4="F"),0),0)</f>
        <v>89367.4</v>
      </c>
      <c r="F13" s="200">
        <f t="shared" ref="F13:F76" si="1">1-D13</f>
        <v>8.1342681433913544E-3</v>
      </c>
      <c r="G13" s="149">
        <f>G12+1</f>
        <v>61</v>
      </c>
      <c r="H13" s="201">
        <f>IFERROR(H12*I13/I12,0)</f>
        <v>0.99473862050808137</v>
      </c>
      <c r="I13" s="149">
        <f t="shared" ref="I13:I76" si="2">IFERROR(VLOOKUP(G13,P:AB,4+7*(H$4="F"),0),0)</f>
        <v>93322.1</v>
      </c>
      <c r="J13" s="200">
        <f t="shared" ref="J13:J76" si="3">1-H13</f>
        <v>5.2613794919186274E-3</v>
      </c>
      <c r="K13" s="200">
        <f t="shared" ref="K13:K76" si="4">F13*J13</f>
        <v>4.2797471591406283E-5</v>
      </c>
      <c r="L13" s="200">
        <f t="shared" ref="L13:L76" si="5">1-K13</f>
        <v>0.99995720252840858</v>
      </c>
      <c r="M13" s="202"/>
      <c r="N13" s="202"/>
      <c r="P13" s="198">
        <v>6</v>
      </c>
      <c r="Q13" s="198">
        <v>6.9999999999999994E-5</v>
      </c>
      <c r="R13" s="198">
        <v>6.9999999999999994E-5</v>
      </c>
      <c r="S13" s="198">
        <v>99479.5</v>
      </c>
      <c r="T13" s="198">
        <v>7</v>
      </c>
      <c r="U13" s="198">
        <v>73.23</v>
      </c>
      <c r="V13" s="198"/>
      <c r="W13" s="198">
        <v>6</v>
      </c>
      <c r="X13" s="198">
        <v>6.7000000000000002E-5</v>
      </c>
      <c r="Y13" s="198">
        <v>6.7000000000000002E-5</v>
      </c>
      <c r="Z13" s="198">
        <v>99583.6</v>
      </c>
      <c r="AA13" s="198">
        <v>6.7</v>
      </c>
      <c r="AB13" s="198">
        <v>77.11</v>
      </c>
    </row>
    <row r="14" spans="2:28" x14ac:dyDescent="0.3">
      <c r="B14" s="149">
        <f t="shared" ref="B14:B77" si="6">B13+1</f>
        <v>2</v>
      </c>
      <c r="C14" s="149">
        <f t="shared" ref="C14:C77" si="7">C13+1</f>
        <v>62</v>
      </c>
      <c r="D14" s="201">
        <f t="shared" ref="D14:D77" si="8">IFERROR(D13*E14/E13,0)</f>
        <v>0.9829034975466231</v>
      </c>
      <c r="E14" s="149">
        <f t="shared" si="0"/>
        <v>88559.9</v>
      </c>
      <c r="F14" s="200">
        <f t="shared" si="1"/>
        <v>1.7096502453376905E-2</v>
      </c>
      <c r="G14" s="149">
        <f t="shared" ref="G14:G77" si="9">G13+1</f>
        <v>62</v>
      </c>
      <c r="H14" s="201">
        <f t="shared" ref="H14:H77" si="10">IFERROR(H13*I14/I13,0)</f>
        <v>0.98915746511511393</v>
      </c>
      <c r="I14" s="149">
        <f t="shared" si="2"/>
        <v>92798.5</v>
      </c>
      <c r="J14" s="200">
        <f t="shared" si="3"/>
        <v>1.0842534884886068E-2</v>
      </c>
      <c r="K14" s="200">
        <f t="shared" si="4"/>
        <v>1.8536942426027934E-4</v>
      </c>
      <c r="L14" s="200">
        <f t="shared" si="5"/>
        <v>0.99981463057573972</v>
      </c>
      <c r="P14" s="198">
        <v>7</v>
      </c>
      <c r="Q14" s="198">
        <v>7.2000000000000002E-5</v>
      </c>
      <c r="R14" s="198">
        <v>7.2000000000000002E-5</v>
      </c>
      <c r="S14" s="198">
        <v>99472.5</v>
      </c>
      <c r="T14" s="198">
        <v>7.2</v>
      </c>
      <c r="U14" s="198">
        <v>72.23</v>
      </c>
      <c r="V14" s="198"/>
      <c r="W14" s="198">
        <v>7</v>
      </c>
      <c r="X14" s="198">
        <v>5.7000000000000003E-5</v>
      </c>
      <c r="Y14" s="198">
        <v>5.7000000000000003E-5</v>
      </c>
      <c r="Z14" s="198">
        <v>99576.9</v>
      </c>
      <c r="AA14" s="198">
        <v>5.6</v>
      </c>
      <c r="AB14" s="198">
        <v>76.12</v>
      </c>
    </row>
    <row r="15" spans="2:28" x14ac:dyDescent="0.3">
      <c r="B15" s="149">
        <f t="shared" si="6"/>
        <v>3</v>
      </c>
      <c r="C15" s="149">
        <f t="shared" si="7"/>
        <v>63</v>
      </c>
      <c r="D15" s="201">
        <f t="shared" si="8"/>
        <v>0.97335524964955733</v>
      </c>
      <c r="E15" s="149">
        <f t="shared" si="0"/>
        <v>87699.6</v>
      </c>
      <c r="F15" s="200">
        <f t="shared" si="1"/>
        <v>2.664475035044267E-2</v>
      </c>
      <c r="G15" s="149">
        <f t="shared" si="9"/>
        <v>63</v>
      </c>
      <c r="H15" s="201">
        <f t="shared" si="10"/>
        <v>0.98289731889225351</v>
      </c>
      <c r="I15" s="149">
        <f t="shared" si="2"/>
        <v>92211.199999999997</v>
      </c>
      <c r="J15" s="200">
        <f t="shared" si="3"/>
        <v>1.7102681107746487E-2</v>
      </c>
      <c r="K15" s="200">
        <f t="shared" si="4"/>
        <v>4.5569666843913744E-4</v>
      </c>
      <c r="L15" s="200">
        <f t="shared" si="5"/>
        <v>0.99954430333156086</v>
      </c>
      <c r="P15" s="198">
        <v>8</v>
      </c>
      <c r="Q15" s="198">
        <v>7.6000000000000004E-5</v>
      </c>
      <c r="R15" s="198">
        <v>7.6000000000000004E-5</v>
      </c>
      <c r="S15" s="198">
        <v>99465.3</v>
      </c>
      <c r="T15" s="198">
        <v>7.5</v>
      </c>
      <c r="U15" s="198">
        <v>71.239999999999995</v>
      </c>
      <c r="V15" s="198"/>
      <c r="W15" s="198">
        <v>8</v>
      </c>
      <c r="X15" s="198">
        <v>5.8999999999999998E-5</v>
      </c>
      <c r="Y15" s="198">
        <v>5.8999999999999998E-5</v>
      </c>
      <c r="Z15" s="198">
        <v>99571.3</v>
      </c>
      <c r="AA15" s="198">
        <v>5.8</v>
      </c>
      <c r="AB15" s="198">
        <v>75.12</v>
      </c>
    </row>
    <row r="16" spans="2:28" x14ac:dyDescent="0.3">
      <c r="B16" s="149">
        <f t="shared" si="6"/>
        <v>4</v>
      </c>
      <c r="C16" s="149">
        <f t="shared" si="7"/>
        <v>64</v>
      </c>
      <c r="D16" s="201">
        <f t="shared" si="8"/>
        <v>0.96310112174987206</v>
      </c>
      <c r="E16" s="149">
        <f t="shared" si="0"/>
        <v>86775.7</v>
      </c>
      <c r="F16" s="200">
        <f t="shared" si="1"/>
        <v>3.6898878250127942E-2</v>
      </c>
      <c r="G16" s="149">
        <f t="shared" si="9"/>
        <v>64</v>
      </c>
      <c r="H16" s="201">
        <f t="shared" si="10"/>
        <v>0.97602853253773081</v>
      </c>
      <c r="I16" s="149">
        <f t="shared" si="2"/>
        <v>91566.8</v>
      </c>
      <c r="J16" s="200">
        <f t="shared" si="3"/>
        <v>2.3971467462269191E-2</v>
      </c>
      <c r="K16" s="200">
        <f t="shared" si="4"/>
        <v>8.845202593671743E-4</v>
      </c>
      <c r="L16" s="200">
        <f t="shared" si="5"/>
        <v>0.99911547974063286</v>
      </c>
      <c r="P16" s="198">
        <v>9</v>
      </c>
      <c r="Q16" s="198">
        <v>7.1000000000000005E-5</v>
      </c>
      <c r="R16" s="198">
        <v>7.1000000000000005E-5</v>
      </c>
      <c r="S16" s="198">
        <v>99457.8</v>
      </c>
      <c r="T16" s="198">
        <v>7.1</v>
      </c>
      <c r="U16" s="198">
        <v>70.239999999999995</v>
      </c>
      <c r="V16" s="198"/>
      <c r="W16" s="198">
        <v>9</v>
      </c>
      <c r="X16" s="198">
        <v>5.8E-5</v>
      </c>
      <c r="Y16" s="198">
        <v>5.8E-5</v>
      </c>
      <c r="Z16" s="198">
        <v>99565.4</v>
      </c>
      <c r="AA16" s="198">
        <v>5.8</v>
      </c>
      <c r="AB16" s="198">
        <v>74.12</v>
      </c>
    </row>
    <row r="17" spans="2:28" x14ac:dyDescent="0.3">
      <c r="B17" s="149">
        <f t="shared" si="6"/>
        <v>5</v>
      </c>
      <c r="C17" s="149">
        <f t="shared" si="7"/>
        <v>65</v>
      </c>
      <c r="D17" s="201">
        <f t="shared" si="8"/>
        <v>0.9519291278719384</v>
      </c>
      <c r="E17" s="149">
        <f t="shared" si="0"/>
        <v>85769.1</v>
      </c>
      <c r="F17" s="200">
        <f t="shared" si="1"/>
        <v>4.8070872128061604E-2</v>
      </c>
      <c r="G17" s="149">
        <f t="shared" si="9"/>
        <v>65</v>
      </c>
      <c r="H17" s="201">
        <f t="shared" si="10"/>
        <v>0.96855856748923674</v>
      </c>
      <c r="I17" s="149">
        <f t="shared" si="2"/>
        <v>90866</v>
      </c>
      <c r="J17" s="200">
        <f t="shared" si="3"/>
        <v>3.1441432510763256E-2</v>
      </c>
      <c r="K17" s="200">
        <f t="shared" si="4"/>
        <v>1.5114170817479794E-3</v>
      </c>
      <c r="L17" s="200">
        <f t="shared" si="5"/>
        <v>0.99848858291825204</v>
      </c>
      <c r="P17" s="198">
        <v>10</v>
      </c>
      <c r="Q17" s="198">
        <v>5.8999999999999998E-5</v>
      </c>
      <c r="R17" s="198">
        <v>5.8999999999999998E-5</v>
      </c>
      <c r="S17" s="198">
        <v>99450.7</v>
      </c>
      <c r="T17" s="198">
        <v>5.9</v>
      </c>
      <c r="U17" s="198">
        <v>69.25</v>
      </c>
      <c r="V17" s="198"/>
      <c r="W17" s="198">
        <v>10</v>
      </c>
      <c r="X17" s="198">
        <v>6.3999999999999997E-5</v>
      </c>
      <c r="Y17" s="198">
        <v>6.3999999999999997E-5</v>
      </c>
      <c r="Z17" s="198">
        <v>99559.6</v>
      </c>
      <c r="AA17" s="198">
        <v>6.4</v>
      </c>
      <c r="AB17" s="198">
        <v>73.13</v>
      </c>
    </row>
    <row r="18" spans="2:28" x14ac:dyDescent="0.3">
      <c r="B18" s="149">
        <f t="shared" si="6"/>
        <v>6</v>
      </c>
      <c r="C18" s="149">
        <f t="shared" si="7"/>
        <v>66</v>
      </c>
      <c r="D18" s="201">
        <f t="shared" si="8"/>
        <v>0.9399868812867439</v>
      </c>
      <c r="E18" s="149">
        <f t="shared" si="0"/>
        <v>84693.1</v>
      </c>
      <c r="F18" s="200">
        <f t="shared" si="1"/>
        <v>6.0013118713256097E-2</v>
      </c>
      <c r="G18" s="149">
        <f t="shared" si="9"/>
        <v>66</v>
      </c>
      <c r="H18" s="201">
        <f t="shared" si="10"/>
        <v>0.96055457668599176</v>
      </c>
      <c r="I18" s="149">
        <f t="shared" si="2"/>
        <v>90115.1</v>
      </c>
      <c r="J18" s="200">
        <f t="shared" si="3"/>
        <v>3.9445423314008243E-2</v>
      </c>
      <c r="K18" s="200">
        <f t="shared" si="4"/>
        <v>2.3672428720382162E-3</v>
      </c>
      <c r="L18" s="200">
        <f t="shared" si="5"/>
        <v>0.99763275712796173</v>
      </c>
      <c r="P18" s="198">
        <v>11</v>
      </c>
      <c r="Q18" s="198">
        <v>9.5000000000000005E-5</v>
      </c>
      <c r="R18" s="198">
        <v>9.5000000000000005E-5</v>
      </c>
      <c r="S18" s="198">
        <v>99444.800000000003</v>
      </c>
      <c r="T18" s="198">
        <v>9.5</v>
      </c>
      <c r="U18" s="198">
        <v>68.25</v>
      </c>
      <c r="V18" s="198"/>
      <c r="W18" s="198">
        <v>11</v>
      </c>
      <c r="X18" s="198">
        <v>6.9999999999999994E-5</v>
      </c>
      <c r="Y18" s="198">
        <v>6.9999999999999994E-5</v>
      </c>
      <c r="Z18" s="198">
        <v>99553.3</v>
      </c>
      <c r="AA18" s="198">
        <v>7</v>
      </c>
      <c r="AB18" s="198">
        <v>72.13</v>
      </c>
    </row>
    <row r="19" spans="2:28" x14ac:dyDescent="0.3">
      <c r="B19" s="149">
        <f t="shared" si="6"/>
        <v>7</v>
      </c>
      <c r="C19" s="149">
        <f t="shared" si="7"/>
        <v>67</v>
      </c>
      <c r="D19" s="201">
        <f t="shared" si="8"/>
        <v>0.92693365060937649</v>
      </c>
      <c r="E19" s="149">
        <f t="shared" si="0"/>
        <v>83517</v>
      </c>
      <c r="F19" s="200">
        <f t="shared" si="1"/>
        <v>7.3066349390623508E-2</v>
      </c>
      <c r="G19" s="149">
        <f t="shared" si="9"/>
        <v>67</v>
      </c>
      <c r="H19" s="201">
        <f t="shared" si="10"/>
        <v>0.95168505911057533</v>
      </c>
      <c r="I19" s="149">
        <f t="shared" si="2"/>
        <v>89283</v>
      </c>
      <c r="J19" s="200">
        <f t="shared" si="3"/>
        <v>4.8314940889424673E-2</v>
      </c>
      <c r="K19" s="200">
        <f t="shared" si="4"/>
        <v>3.5301963518140252E-3</v>
      </c>
      <c r="L19" s="200">
        <f t="shared" si="5"/>
        <v>0.99646980364818594</v>
      </c>
      <c r="P19" s="198">
        <v>12</v>
      </c>
      <c r="Q19" s="198">
        <v>1.02E-4</v>
      </c>
      <c r="R19" s="198">
        <v>1.02E-4</v>
      </c>
      <c r="S19" s="198">
        <v>99435.3</v>
      </c>
      <c r="T19" s="198">
        <v>10.199999999999999</v>
      </c>
      <c r="U19" s="198">
        <v>67.260000000000005</v>
      </c>
      <c r="V19" s="198"/>
      <c r="W19" s="198">
        <v>12</v>
      </c>
      <c r="X19" s="198">
        <v>6.7000000000000002E-5</v>
      </c>
      <c r="Y19" s="198">
        <v>6.6000000000000005E-5</v>
      </c>
      <c r="Z19" s="198">
        <v>99546.3</v>
      </c>
      <c r="AA19" s="198">
        <v>6.6</v>
      </c>
      <c r="AB19" s="198">
        <v>71.14</v>
      </c>
    </row>
    <row r="20" spans="2:28" x14ac:dyDescent="0.3">
      <c r="B20" s="149">
        <f t="shared" si="6"/>
        <v>8</v>
      </c>
      <c r="C20" s="149">
        <f t="shared" si="7"/>
        <v>68</v>
      </c>
      <c r="D20" s="201">
        <f t="shared" si="8"/>
        <v>0.91264734967586136</v>
      </c>
      <c r="E20" s="149">
        <f t="shared" si="0"/>
        <v>82229.8</v>
      </c>
      <c r="F20" s="200">
        <f t="shared" si="1"/>
        <v>8.7352650324138637E-2</v>
      </c>
      <c r="G20" s="149">
        <f t="shared" si="9"/>
        <v>68</v>
      </c>
      <c r="H20" s="201">
        <f t="shared" si="10"/>
        <v>0.94209497983812951</v>
      </c>
      <c r="I20" s="149">
        <f t="shared" si="2"/>
        <v>88383.3</v>
      </c>
      <c r="J20" s="200">
        <f t="shared" si="3"/>
        <v>5.7905020161870491E-2</v>
      </c>
      <c r="K20" s="200">
        <f t="shared" si="4"/>
        <v>5.0581569782120707E-3</v>
      </c>
      <c r="L20" s="200">
        <f t="shared" si="5"/>
        <v>0.9949418430217879</v>
      </c>
      <c r="P20" s="198">
        <v>13</v>
      </c>
      <c r="Q20" s="198">
        <v>1.18E-4</v>
      </c>
      <c r="R20" s="198">
        <v>1.18E-4</v>
      </c>
      <c r="S20" s="198">
        <v>99425.2</v>
      </c>
      <c r="T20" s="198">
        <v>11.7</v>
      </c>
      <c r="U20" s="198">
        <v>66.260000000000005</v>
      </c>
      <c r="V20" s="198"/>
      <c r="W20" s="198">
        <v>13</v>
      </c>
      <c r="X20" s="198">
        <v>1.03E-4</v>
      </c>
      <c r="Y20" s="198">
        <v>1.03E-4</v>
      </c>
      <c r="Z20" s="198">
        <v>99539.6</v>
      </c>
      <c r="AA20" s="198">
        <v>10.3</v>
      </c>
      <c r="AB20" s="198">
        <v>70.14</v>
      </c>
    </row>
    <row r="21" spans="2:28" x14ac:dyDescent="0.3">
      <c r="B21" s="149">
        <f t="shared" si="6"/>
        <v>9</v>
      </c>
      <c r="C21" s="149">
        <f t="shared" si="7"/>
        <v>69</v>
      </c>
      <c r="D21" s="201">
        <f t="shared" si="8"/>
        <v>0.89724007578221177</v>
      </c>
      <c r="E21" s="149">
        <f t="shared" si="0"/>
        <v>80841.600000000006</v>
      </c>
      <c r="F21" s="200">
        <f t="shared" si="1"/>
        <v>0.10275992421778823</v>
      </c>
      <c r="G21" s="149">
        <f t="shared" si="9"/>
        <v>69</v>
      </c>
      <c r="H21" s="201">
        <f t="shared" si="10"/>
        <v>0.93165749442790502</v>
      </c>
      <c r="I21" s="149">
        <f t="shared" si="2"/>
        <v>87404.1</v>
      </c>
      <c r="J21" s="200">
        <f t="shared" si="3"/>
        <v>6.834250557209498E-2</v>
      </c>
      <c r="K21" s="200">
        <f t="shared" si="4"/>
        <v>7.0228706934422503E-3</v>
      </c>
      <c r="L21" s="200">
        <f t="shared" si="5"/>
        <v>0.99297712930655779</v>
      </c>
      <c r="P21" s="198">
        <v>14</v>
      </c>
      <c r="Q21" s="198">
        <v>1.3200000000000001E-4</v>
      </c>
      <c r="R21" s="198">
        <v>1.3200000000000001E-4</v>
      </c>
      <c r="S21" s="198">
        <v>99413.5</v>
      </c>
      <c r="T21" s="198">
        <v>13.1</v>
      </c>
      <c r="U21" s="198">
        <v>65.27</v>
      </c>
      <c r="V21" s="198"/>
      <c r="W21" s="198">
        <v>14</v>
      </c>
      <c r="X21" s="198">
        <v>9.0000000000000006E-5</v>
      </c>
      <c r="Y21" s="198">
        <v>9.0000000000000006E-5</v>
      </c>
      <c r="Z21" s="198">
        <v>99529.4</v>
      </c>
      <c r="AA21" s="198">
        <v>9</v>
      </c>
      <c r="AB21" s="198">
        <v>69.150000000000006</v>
      </c>
    </row>
    <row r="22" spans="2:28" x14ac:dyDescent="0.3">
      <c r="B22" s="149">
        <f t="shared" si="6"/>
        <v>10</v>
      </c>
      <c r="C22" s="149">
        <f t="shared" si="7"/>
        <v>70</v>
      </c>
      <c r="D22" s="201">
        <f t="shared" si="8"/>
        <v>0.88092270502983905</v>
      </c>
      <c r="E22" s="149">
        <f t="shared" si="0"/>
        <v>79371.399999999994</v>
      </c>
      <c r="F22" s="200">
        <f t="shared" si="1"/>
        <v>0.11907729497016095</v>
      </c>
      <c r="G22" s="149">
        <f t="shared" si="9"/>
        <v>70</v>
      </c>
      <c r="H22" s="201">
        <f t="shared" si="10"/>
        <v>0.92049411772230028</v>
      </c>
      <c r="I22" s="149">
        <f t="shared" si="2"/>
        <v>86356.800000000003</v>
      </c>
      <c r="J22" s="200">
        <f t="shared" si="3"/>
        <v>7.9505882277699724E-2</v>
      </c>
      <c r="K22" s="200">
        <f t="shared" si="4"/>
        <v>9.4673453958445414E-3</v>
      </c>
      <c r="L22" s="200">
        <f t="shared" si="5"/>
        <v>0.9905326546041554</v>
      </c>
      <c r="P22" s="198">
        <v>15</v>
      </c>
      <c r="Q22" s="198">
        <v>1.7799999999999999E-4</v>
      </c>
      <c r="R22" s="198">
        <v>1.7799999999999999E-4</v>
      </c>
      <c r="S22" s="198">
        <v>99400.4</v>
      </c>
      <c r="T22" s="198">
        <v>17.7</v>
      </c>
      <c r="U22" s="198">
        <v>64.28</v>
      </c>
      <c r="V22" s="198"/>
      <c r="W22" s="198">
        <v>15</v>
      </c>
      <c r="X22" s="198">
        <v>1.3100000000000001E-4</v>
      </c>
      <c r="Y22" s="198">
        <v>1.3100000000000001E-4</v>
      </c>
      <c r="Z22" s="198">
        <v>99520.4</v>
      </c>
      <c r="AA22" s="198">
        <v>13</v>
      </c>
      <c r="AB22" s="198">
        <v>68.16</v>
      </c>
    </row>
    <row r="23" spans="2:28" x14ac:dyDescent="0.3">
      <c r="B23" s="149">
        <f t="shared" si="6"/>
        <v>11</v>
      </c>
      <c r="C23" s="149">
        <f t="shared" si="7"/>
        <v>71</v>
      </c>
      <c r="D23" s="201">
        <f t="shared" si="8"/>
        <v>0.86334673691430563</v>
      </c>
      <c r="E23" s="149">
        <f t="shared" si="0"/>
        <v>77787.8</v>
      </c>
      <c r="F23" s="200">
        <f t="shared" si="1"/>
        <v>0.13665326308569437</v>
      </c>
      <c r="G23" s="149">
        <f t="shared" si="9"/>
        <v>71</v>
      </c>
      <c r="H23" s="201">
        <f t="shared" si="10"/>
        <v>0.9082712168645547</v>
      </c>
      <c r="I23" s="149">
        <f t="shared" si="2"/>
        <v>85210.1</v>
      </c>
      <c r="J23" s="200">
        <f t="shared" si="3"/>
        <v>9.1728783135445302E-2</v>
      </c>
      <c r="K23" s="200">
        <f t="shared" si="4"/>
        <v>1.2535037534338612E-2</v>
      </c>
      <c r="L23" s="200">
        <f t="shared" si="5"/>
        <v>0.9874649624656614</v>
      </c>
      <c r="P23" s="198">
        <v>16</v>
      </c>
      <c r="Q23" s="198">
        <v>2.4000000000000001E-4</v>
      </c>
      <c r="R23" s="198">
        <v>2.4000000000000001E-4</v>
      </c>
      <c r="S23" s="198">
        <v>99382.7</v>
      </c>
      <c r="T23" s="198">
        <v>23.9</v>
      </c>
      <c r="U23" s="198">
        <v>63.29</v>
      </c>
      <c r="V23" s="198"/>
      <c r="W23" s="198">
        <v>16</v>
      </c>
      <c r="X23" s="198">
        <v>1.2300000000000001E-4</v>
      </c>
      <c r="Y23" s="198">
        <v>1.2300000000000001E-4</v>
      </c>
      <c r="Z23" s="198">
        <v>99507.4</v>
      </c>
      <c r="AA23" s="198">
        <v>12.3</v>
      </c>
      <c r="AB23" s="198">
        <v>67.16</v>
      </c>
    </row>
    <row r="24" spans="2:28" x14ac:dyDescent="0.3">
      <c r="B24" s="149">
        <f t="shared" si="6"/>
        <v>12</v>
      </c>
      <c r="C24" s="149">
        <f t="shared" si="7"/>
        <v>72</v>
      </c>
      <c r="D24" s="201">
        <f t="shared" si="8"/>
        <v>0.84441339263021331</v>
      </c>
      <c r="E24" s="149">
        <f t="shared" si="0"/>
        <v>76081.899999999994</v>
      </c>
      <c r="F24" s="200">
        <f t="shared" si="1"/>
        <v>0.15558660736978669</v>
      </c>
      <c r="G24" s="149">
        <f t="shared" si="9"/>
        <v>72</v>
      </c>
      <c r="H24" s="201">
        <f t="shared" si="10"/>
        <v>0.89528724936231341</v>
      </c>
      <c r="I24" s="149">
        <f t="shared" si="2"/>
        <v>83992</v>
      </c>
      <c r="J24" s="200">
        <f t="shared" si="3"/>
        <v>0.10471275063768659</v>
      </c>
      <c r="K24" s="200">
        <f t="shared" si="4"/>
        <v>1.6291901620076123E-2</v>
      </c>
      <c r="L24" s="200">
        <f t="shared" si="5"/>
        <v>0.9837080983799239</v>
      </c>
      <c r="P24" s="198">
        <v>17</v>
      </c>
      <c r="Q24" s="198">
        <v>3.1E-4</v>
      </c>
      <c r="R24" s="198">
        <v>3.1E-4</v>
      </c>
      <c r="S24" s="198">
        <v>99358.8</v>
      </c>
      <c r="T24" s="198">
        <v>30.8</v>
      </c>
      <c r="U24" s="198">
        <v>62.31</v>
      </c>
      <c r="V24" s="198"/>
      <c r="W24" s="198">
        <v>17</v>
      </c>
      <c r="X24" s="198">
        <v>1.6200000000000001E-4</v>
      </c>
      <c r="Y24" s="198">
        <v>1.6200000000000001E-4</v>
      </c>
      <c r="Z24" s="198">
        <v>99495.1</v>
      </c>
      <c r="AA24" s="198">
        <v>16.2</v>
      </c>
      <c r="AB24" s="198">
        <v>66.17</v>
      </c>
    </row>
    <row r="25" spans="2:28" x14ac:dyDescent="0.3">
      <c r="B25" s="149">
        <f t="shared" si="6"/>
        <v>13</v>
      </c>
      <c r="C25" s="149">
        <f t="shared" si="7"/>
        <v>73</v>
      </c>
      <c r="D25" s="201">
        <f t="shared" si="8"/>
        <v>0.82412489192599814</v>
      </c>
      <c r="E25" s="149">
        <f t="shared" si="0"/>
        <v>74253.899999999994</v>
      </c>
      <c r="F25" s="200">
        <f t="shared" si="1"/>
        <v>0.17587510807400186</v>
      </c>
      <c r="G25" s="149">
        <f t="shared" si="9"/>
        <v>73</v>
      </c>
      <c r="H25" s="201">
        <f t="shared" si="10"/>
        <v>0.88118193436706205</v>
      </c>
      <c r="I25" s="149">
        <f t="shared" si="2"/>
        <v>82668.7</v>
      </c>
      <c r="J25" s="200">
        <f t="shared" si="3"/>
        <v>0.11881806563293795</v>
      </c>
      <c r="K25" s="200">
        <f t="shared" si="4"/>
        <v>2.0897140134336811E-2</v>
      </c>
      <c r="L25" s="200">
        <f t="shared" si="5"/>
        <v>0.97910285986566314</v>
      </c>
      <c r="P25" s="198">
        <v>18</v>
      </c>
      <c r="Q25" s="198">
        <v>4.3399999999999998E-4</v>
      </c>
      <c r="R25" s="198">
        <v>4.3399999999999998E-4</v>
      </c>
      <c r="S25" s="198">
        <v>99328</v>
      </c>
      <c r="T25" s="198">
        <v>43.1</v>
      </c>
      <c r="U25" s="198">
        <v>61.33</v>
      </c>
      <c r="V25" s="198"/>
      <c r="W25" s="198">
        <v>18</v>
      </c>
      <c r="X25" s="198">
        <v>1.7799999999999999E-4</v>
      </c>
      <c r="Y25" s="198">
        <v>1.7799999999999999E-4</v>
      </c>
      <c r="Z25" s="198">
        <v>99478.9</v>
      </c>
      <c r="AA25" s="198">
        <v>17.7</v>
      </c>
      <c r="AB25" s="198">
        <v>65.180000000000007</v>
      </c>
    </row>
    <row r="26" spans="2:28" x14ac:dyDescent="0.3">
      <c r="B26" s="149">
        <f t="shared" si="6"/>
        <v>14</v>
      </c>
      <c r="C26" s="149">
        <f t="shared" si="7"/>
        <v>74</v>
      </c>
      <c r="D26" s="201">
        <f t="shared" si="8"/>
        <v>0.80281530694126446</v>
      </c>
      <c r="E26" s="149">
        <f t="shared" si="0"/>
        <v>72333.899999999994</v>
      </c>
      <c r="F26" s="200">
        <f t="shared" si="1"/>
        <v>0.19718469305873554</v>
      </c>
      <c r="G26" s="149">
        <f t="shared" si="9"/>
        <v>74</v>
      </c>
      <c r="H26" s="201">
        <f t="shared" si="10"/>
        <v>0.86587213014452791</v>
      </c>
      <c r="I26" s="149">
        <f t="shared" si="2"/>
        <v>81232.399999999994</v>
      </c>
      <c r="J26" s="200">
        <f t="shared" si="3"/>
        <v>0.13412786985547209</v>
      </c>
      <c r="K26" s="200">
        <f t="shared" si="4"/>
        <v>2.6447962848073291E-2</v>
      </c>
      <c r="L26" s="200">
        <f t="shared" si="5"/>
        <v>0.97355203715192673</v>
      </c>
      <c r="P26" s="198">
        <v>19</v>
      </c>
      <c r="Q26" s="198">
        <v>5.0699999999999996E-4</v>
      </c>
      <c r="R26" s="198">
        <v>5.0699999999999996E-4</v>
      </c>
      <c r="S26" s="198">
        <v>99284.9</v>
      </c>
      <c r="T26" s="198">
        <v>50.3</v>
      </c>
      <c r="U26" s="198">
        <v>60.35</v>
      </c>
      <c r="V26" s="198"/>
      <c r="W26" s="198">
        <v>19</v>
      </c>
      <c r="X26" s="198">
        <v>1.9100000000000001E-4</v>
      </c>
      <c r="Y26" s="198">
        <v>1.9000000000000001E-4</v>
      </c>
      <c r="Z26" s="198">
        <v>99461.2</v>
      </c>
      <c r="AA26" s="198">
        <v>18.899999999999999</v>
      </c>
      <c r="AB26" s="198">
        <v>64.2</v>
      </c>
    </row>
    <row r="27" spans="2:28" x14ac:dyDescent="0.3">
      <c r="B27" s="149">
        <f t="shared" si="6"/>
        <v>15</v>
      </c>
      <c r="C27" s="149">
        <f t="shared" si="7"/>
        <v>75</v>
      </c>
      <c r="D27" s="201">
        <f t="shared" si="8"/>
        <v>0.78029817880739605</v>
      </c>
      <c r="E27" s="149">
        <f t="shared" si="0"/>
        <v>70305.100000000006</v>
      </c>
      <c r="F27" s="200">
        <f t="shared" si="1"/>
        <v>0.21970182119260395</v>
      </c>
      <c r="G27" s="149">
        <f t="shared" si="9"/>
        <v>75</v>
      </c>
      <c r="H27" s="201">
        <f t="shared" si="10"/>
        <v>0.84931839766691497</v>
      </c>
      <c r="I27" s="149">
        <f t="shared" si="2"/>
        <v>79679.399999999994</v>
      </c>
      <c r="J27" s="200">
        <f t="shared" si="3"/>
        <v>0.15068160233308503</v>
      </c>
      <c r="K27" s="200">
        <f t="shared" si="4"/>
        <v>3.3105022452798505E-2</v>
      </c>
      <c r="L27" s="200">
        <f t="shared" si="5"/>
        <v>0.96689497754720155</v>
      </c>
      <c r="P27" s="198">
        <v>20</v>
      </c>
      <c r="Q27" s="198">
        <v>4.7899999999999999E-4</v>
      </c>
      <c r="R27" s="198">
        <v>4.7899999999999999E-4</v>
      </c>
      <c r="S27" s="198">
        <v>99234.6</v>
      </c>
      <c r="T27" s="198">
        <v>47.5</v>
      </c>
      <c r="U27" s="198">
        <v>59.38</v>
      </c>
      <c r="V27" s="198"/>
      <c r="W27" s="198">
        <v>20</v>
      </c>
      <c r="X27" s="198">
        <v>2.3499999999999999E-4</v>
      </c>
      <c r="Y27" s="198">
        <v>2.3499999999999999E-4</v>
      </c>
      <c r="Z27" s="198">
        <v>99442.3</v>
      </c>
      <c r="AA27" s="198">
        <v>23.4</v>
      </c>
      <c r="AB27" s="198">
        <v>63.21</v>
      </c>
    </row>
    <row r="28" spans="2:28" x14ac:dyDescent="0.3">
      <c r="B28" s="149">
        <f t="shared" si="6"/>
        <v>16</v>
      </c>
      <c r="C28" s="149">
        <f t="shared" si="7"/>
        <v>76</v>
      </c>
      <c r="D28" s="201">
        <f t="shared" si="8"/>
        <v>0.7559197916100171</v>
      </c>
      <c r="E28" s="149">
        <f t="shared" si="0"/>
        <v>68108.600000000006</v>
      </c>
      <c r="F28" s="200">
        <f t="shared" si="1"/>
        <v>0.2440802083899829</v>
      </c>
      <c r="G28" s="149">
        <f t="shared" si="9"/>
        <v>76</v>
      </c>
      <c r="H28" s="201">
        <f t="shared" si="10"/>
        <v>0.83099204077782296</v>
      </c>
      <c r="I28" s="149">
        <f t="shared" si="2"/>
        <v>77960.100000000006</v>
      </c>
      <c r="J28" s="200">
        <f t="shared" si="3"/>
        <v>0.16900795922217704</v>
      </c>
      <c r="K28" s="200">
        <f t="shared" si="4"/>
        <v>4.1251497906514702E-2</v>
      </c>
      <c r="L28" s="200">
        <f t="shared" si="5"/>
        <v>0.95874850209348528</v>
      </c>
      <c r="P28" s="198">
        <v>21</v>
      </c>
      <c r="Q28" s="198">
        <v>5.1400000000000003E-4</v>
      </c>
      <c r="R28" s="198">
        <v>5.1400000000000003E-4</v>
      </c>
      <c r="S28" s="198">
        <v>99187.1</v>
      </c>
      <c r="T28" s="198">
        <v>51</v>
      </c>
      <c r="U28" s="198">
        <v>58.41</v>
      </c>
      <c r="V28" s="198"/>
      <c r="W28" s="198">
        <v>21</v>
      </c>
      <c r="X28" s="198">
        <v>2.2699999999999999E-4</v>
      </c>
      <c r="Y28" s="198">
        <v>2.2699999999999999E-4</v>
      </c>
      <c r="Z28" s="198">
        <v>99418.9</v>
      </c>
      <c r="AA28" s="198">
        <v>22.6</v>
      </c>
      <c r="AB28" s="198">
        <v>62.22</v>
      </c>
    </row>
    <row r="29" spans="2:28" x14ac:dyDescent="0.3">
      <c r="B29" s="149">
        <f t="shared" si="6"/>
        <v>17</v>
      </c>
      <c r="C29" s="149">
        <f t="shared" si="7"/>
        <v>77</v>
      </c>
      <c r="D29" s="201">
        <f t="shared" si="8"/>
        <v>0.72941599528525458</v>
      </c>
      <c r="E29" s="149">
        <f t="shared" si="0"/>
        <v>65720.600000000006</v>
      </c>
      <c r="F29" s="200">
        <f t="shared" si="1"/>
        <v>0.27058400471474542</v>
      </c>
      <c r="G29" s="149">
        <f t="shared" si="9"/>
        <v>77</v>
      </c>
      <c r="H29" s="201">
        <f t="shared" si="10"/>
        <v>0.81110517749161382</v>
      </c>
      <c r="I29" s="149">
        <f t="shared" si="2"/>
        <v>76094.399999999994</v>
      </c>
      <c r="J29" s="200">
        <f t="shared" si="3"/>
        <v>0.18889482250838618</v>
      </c>
      <c r="K29" s="200">
        <f t="shared" si="4"/>
        <v>5.1111917544200164E-2</v>
      </c>
      <c r="L29" s="200">
        <f t="shared" si="5"/>
        <v>0.94888808245579981</v>
      </c>
      <c r="P29" s="198">
        <v>22</v>
      </c>
      <c r="Q29" s="198">
        <v>5.1999999999999995E-4</v>
      </c>
      <c r="R29" s="198">
        <v>5.1999999999999995E-4</v>
      </c>
      <c r="S29" s="198">
        <v>99136.1</v>
      </c>
      <c r="T29" s="198">
        <v>51.5</v>
      </c>
      <c r="U29" s="198">
        <v>57.44</v>
      </c>
      <c r="V29" s="198"/>
      <c r="W29" s="198">
        <v>22</v>
      </c>
      <c r="X29" s="198">
        <v>2.1599999999999999E-4</v>
      </c>
      <c r="Y29" s="198">
        <v>2.1599999999999999E-4</v>
      </c>
      <c r="Z29" s="198">
        <v>99396.3</v>
      </c>
      <c r="AA29" s="198">
        <v>21.5</v>
      </c>
      <c r="AB29" s="198">
        <v>61.24</v>
      </c>
    </row>
    <row r="30" spans="2:28" x14ac:dyDescent="0.3">
      <c r="B30" s="149">
        <f t="shared" si="6"/>
        <v>18</v>
      </c>
      <c r="C30" s="149">
        <f t="shared" si="7"/>
        <v>78</v>
      </c>
      <c r="D30" s="201">
        <f t="shared" si="8"/>
        <v>0.70104761027432783</v>
      </c>
      <c r="E30" s="149">
        <f t="shared" si="0"/>
        <v>63164.6</v>
      </c>
      <c r="F30" s="200">
        <f t="shared" si="1"/>
        <v>0.29895238972567217</v>
      </c>
      <c r="G30" s="149">
        <f t="shared" si="9"/>
        <v>78</v>
      </c>
      <c r="H30" s="201">
        <f t="shared" si="10"/>
        <v>0.78892445507521658</v>
      </c>
      <c r="I30" s="149">
        <f t="shared" si="2"/>
        <v>74013.5</v>
      </c>
      <c r="J30" s="200">
        <f t="shared" si="3"/>
        <v>0.21107554492478342</v>
      </c>
      <c r="K30" s="200">
        <f t="shared" si="4"/>
        <v>6.310153856791248E-2</v>
      </c>
      <c r="L30" s="200">
        <f t="shared" si="5"/>
        <v>0.93689846143208755</v>
      </c>
      <c r="P30" s="198">
        <v>23</v>
      </c>
      <c r="Q30" s="198">
        <v>5.8200000000000005E-4</v>
      </c>
      <c r="R30" s="198">
        <v>5.8200000000000005E-4</v>
      </c>
      <c r="S30" s="198">
        <v>99084.6</v>
      </c>
      <c r="T30" s="198">
        <v>57.6</v>
      </c>
      <c r="U30" s="198">
        <v>56.47</v>
      </c>
      <c r="V30" s="198"/>
      <c r="W30" s="198">
        <v>23</v>
      </c>
      <c r="X30" s="198">
        <v>2.4800000000000001E-4</v>
      </c>
      <c r="Y30" s="198">
        <v>2.4800000000000001E-4</v>
      </c>
      <c r="Z30" s="198">
        <v>99374.8</v>
      </c>
      <c r="AA30" s="198">
        <v>24.7</v>
      </c>
      <c r="AB30" s="198">
        <v>60.25</v>
      </c>
    </row>
    <row r="31" spans="2:28" x14ac:dyDescent="0.3">
      <c r="B31" s="149">
        <f t="shared" si="6"/>
        <v>19</v>
      </c>
      <c r="C31" s="149">
        <f t="shared" si="7"/>
        <v>79</v>
      </c>
      <c r="D31" s="201">
        <f t="shared" si="8"/>
        <v>0.67022418349328494</v>
      </c>
      <c r="E31" s="149">
        <f t="shared" si="0"/>
        <v>60387.4</v>
      </c>
      <c r="F31" s="200">
        <f t="shared" si="1"/>
        <v>0.32977581650671506</v>
      </c>
      <c r="G31" s="149">
        <f t="shared" si="9"/>
        <v>79</v>
      </c>
      <c r="H31" s="201">
        <f t="shared" si="10"/>
        <v>0.76461082739882558</v>
      </c>
      <c r="I31" s="149">
        <f t="shared" si="2"/>
        <v>71732.5</v>
      </c>
      <c r="J31" s="200">
        <f t="shared" si="3"/>
        <v>0.23538917260117442</v>
      </c>
      <c r="K31" s="200">
        <f t="shared" si="4"/>
        <v>7.7625656591392381E-2</v>
      </c>
      <c r="L31" s="200">
        <f t="shared" si="5"/>
        <v>0.92237434340860758</v>
      </c>
      <c r="P31" s="198">
        <v>24</v>
      </c>
      <c r="Q31" s="198">
        <v>5.4600000000000004E-4</v>
      </c>
      <c r="R31" s="198">
        <v>5.4600000000000004E-4</v>
      </c>
      <c r="S31" s="198">
        <v>99027</v>
      </c>
      <c r="T31" s="198">
        <v>54</v>
      </c>
      <c r="U31" s="198">
        <v>55.5</v>
      </c>
      <c r="V31" s="198"/>
      <c r="W31" s="198">
        <v>24</v>
      </c>
      <c r="X31" s="198">
        <v>2.4800000000000001E-4</v>
      </c>
      <c r="Y31" s="198">
        <v>2.4800000000000001E-4</v>
      </c>
      <c r="Z31" s="198">
        <v>99350.1</v>
      </c>
      <c r="AA31" s="198">
        <v>24.6</v>
      </c>
      <c r="AB31" s="198">
        <v>59.26</v>
      </c>
    </row>
    <row r="32" spans="2:28" x14ac:dyDescent="0.3">
      <c r="B32" s="149">
        <f t="shared" si="6"/>
        <v>20</v>
      </c>
      <c r="C32" s="149">
        <f t="shared" si="7"/>
        <v>80</v>
      </c>
      <c r="D32" s="201">
        <f t="shared" si="8"/>
        <v>0.63761718884398855</v>
      </c>
      <c r="E32" s="149">
        <f t="shared" si="0"/>
        <v>57449.5</v>
      </c>
      <c r="F32" s="200">
        <f t="shared" si="1"/>
        <v>0.36238281115601145</v>
      </c>
      <c r="G32" s="149">
        <f t="shared" si="9"/>
        <v>80</v>
      </c>
      <c r="H32" s="201">
        <f t="shared" si="10"/>
        <v>0.7382751501081376</v>
      </c>
      <c r="I32" s="149">
        <f t="shared" si="2"/>
        <v>69261.8</v>
      </c>
      <c r="J32" s="200">
        <f t="shared" si="3"/>
        <v>0.2617248498918624</v>
      </c>
      <c r="K32" s="200">
        <f t="shared" si="4"/>
        <v>9.4844586853198215E-2</v>
      </c>
      <c r="L32" s="200">
        <f t="shared" si="5"/>
        <v>0.90515541314680181</v>
      </c>
      <c r="P32" s="198">
        <v>25</v>
      </c>
      <c r="Q32" s="198">
        <v>5.44E-4</v>
      </c>
      <c r="R32" s="198">
        <v>5.44E-4</v>
      </c>
      <c r="S32" s="198">
        <v>98972.9</v>
      </c>
      <c r="T32" s="198">
        <v>53.8</v>
      </c>
      <c r="U32" s="198">
        <v>54.53</v>
      </c>
      <c r="V32" s="198"/>
      <c r="W32" s="198">
        <v>25</v>
      </c>
      <c r="X32" s="198">
        <v>2.3800000000000001E-4</v>
      </c>
      <c r="Y32" s="198">
        <v>2.3800000000000001E-4</v>
      </c>
      <c r="Z32" s="198">
        <v>99325.5</v>
      </c>
      <c r="AA32" s="198">
        <v>23.6</v>
      </c>
      <c r="AB32" s="198">
        <v>58.28</v>
      </c>
    </row>
    <row r="33" spans="2:28" x14ac:dyDescent="0.3">
      <c r="B33" s="149">
        <f t="shared" si="6"/>
        <v>21</v>
      </c>
      <c r="C33" s="149">
        <f t="shared" si="7"/>
        <v>81</v>
      </c>
      <c r="D33" s="201">
        <f t="shared" si="8"/>
        <v>0.60211453236004786</v>
      </c>
      <c r="E33" s="149">
        <f t="shared" si="0"/>
        <v>54250.7</v>
      </c>
      <c r="F33" s="200">
        <f t="shared" si="1"/>
        <v>0.39788546763995214</v>
      </c>
      <c r="G33" s="149">
        <f t="shared" si="9"/>
        <v>81</v>
      </c>
      <c r="H33" s="201">
        <f t="shared" si="10"/>
        <v>0.70892292015089164</v>
      </c>
      <c r="I33" s="149">
        <f t="shared" si="2"/>
        <v>66508.100000000006</v>
      </c>
      <c r="J33" s="200">
        <f t="shared" si="3"/>
        <v>0.29107707984910836</v>
      </c>
      <c r="K33" s="200">
        <f t="shared" si="4"/>
        <v>0.11581534003503417</v>
      </c>
      <c r="L33" s="200">
        <f t="shared" si="5"/>
        <v>0.88418465996496587</v>
      </c>
      <c r="P33" s="198">
        <v>26</v>
      </c>
      <c r="Q33" s="198">
        <v>6.6399999999999999E-4</v>
      </c>
      <c r="R33" s="198">
        <v>6.6399999999999999E-4</v>
      </c>
      <c r="S33" s="198">
        <v>98919.1</v>
      </c>
      <c r="T33" s="198">
        <v>65.7</v>
      </c>
      <c r="U33" s="198">
        <v>53.56</v>
      </c>
      <c r="V33" s="198"/>
      <c r="W33" s="198">
        <v>26</v>
      </c>
      <c r="X33" s="198">
        <v>2.7799999999999998E-4</v>
      </c>
      <c r="Y33" s="198">
        <v>2.7799999999999998E-4</v>
      </c>
      <c r="Z33" s="198">
        <v>99301.9</v>
      </c>
      <c r="AA33" s="198">
        <v>27.6</v>
      </c>
      <c r="AB33" s="198">
        <v>57.29</v>
      </c>
    </row>
    <row r="34" spans="2:28" x14ac:dyDescent="0.3">
      <c r="B34" s="149">
        <f t="shared" si="6"/>
        <v>22</v>
      </c>
      <c r="C34" s="149">
        <f t="shared" si="7"/>
        <v>82</v>
      </c>
      <c r="D34" s="201">
        <f t="shared" si="8"/>
        <v>0.56477947354226377</v>
      </c>
      <c r="E34" s="149">
        <f t="shared" si="0"/>
        <v>50886.8</v>
      </c>
      <c r="F34" s="200">
        <f t="shared" si="1"/>
        <v>0.43522052645773623</v>
      </c>
      <c r="G34" s="149">
        <f t="shared" si="9"/>
        <v>82</v>
      </c>
      <c r="H34" s="201">
        <f t="shared" si="10"/>
        <v>0.67705618569173387</v>
      </c>
      <c r="I34" s="149">
        <f t="shared" si="2"/>
        <v>63518.5</v>
      </c>
      <c r="J34" s="200">
        <f t="shared" si="3"/>
        <v>0.32294381430826613</v>
      </c>
      <c r="K34" s="200">
        <f t="shared" si="4"/>
        <v>0.14055177687951301</v>
      </c>
      <c r="L34" s="200">
        <f t="shared" si="5"/>
        <v>0.85944822312048696</v>
      </c>
      <c r="P34" s="198">
        <v>27</v>
      </c>
      <c r="Q34" s="198">
        <v>6.4400000000000004E-4</v>
      </c>
      <c r="R34" s="198">
        <v>6.4300000000000002E-4</v>
      </c>
      <c r="S34" s="198">
        <v>98853.5</v>
      </c>
      <c r="T34" s="198">
        <v>63.6</v>
      </c>
      <c r="U34" s="198">
        <v>52.6</v>
      </c>
      <c r="V34" s="198"/>
      <c r="W34" s="198">
        <v>27</v>
      </c>
      <c r="X34" s="198">
        <v>3.1E-4</v>
      </c>
      <c r="Y34" s="198">
        <v>3.1E-4</v>
      </c>
      <c r="Z34" s="198">
        <v>99274.3</v>
      </c>
      <c r="AA34" s="198">
        <v>30.8</v>
      </c>
      <c r="AB34" s="198">
        <v>56.31</v>
      </c>
    </row>
    <row r="35" spans="2:28" x14ac:dyDescent="0.3">
      <c r="B35" s="149">
        <f t="shared" si="6"/>
        <v>23</v>
      </c>
      <c r="C35" s="149">
        <f t="shared" si="7"/>
        <v>83</v>
      </c>
      <c r="D35" s="201">
        <f t="shared" si="8"/>
        <v>0.5252080181753005</v>
      </c>
      <c r="E35" s="149">
        <f t="shared" si="0"/>
        <v>47321.4</v>
      </c>
      <c r="F35" s="200">
        <f t="shared" si="1"/>
        <v>0.4747919818246995</v>
      </c>
      <c r="G35" s="149">
        <f t="shared" si="9"/>
        <v>83</v>
      </c>
      <c r="H35" s="201">
        <f t="shared" si="10"/>
        <v>0.64258114579969017</v>
      </c>
      <c r="I35" s="149">
        <f t="shared" si="2"/>
        <v>60284.2</v>
      </c>
      <c r="J35" s="200">
        <f t="shared" si="3"/>
        <v>0.35741885420030983</v>
      </c>
      <c r="K35" s="200">
        <f t="shared" si="4"/>
        <v>0.16969960612727844</v>
      </c>
      <c r="L35" s="200">
        <f t="shared" si="5"/>
        <v>0.83030039387272159</v>
      </c>
      <c r="P35" s="198">
        <v>28</v>
      </c>
      <c r="Q35" s="198">
        <v>6.9899999999999997E-4</v>
      </c>
      <c r="R35" s="198">
        <v>6.9899999999999997E-4</v>
      </c>
      <c r="S35" s="198">
        <v>98789.9</v>
      </c>
      <c r="T35" s="198">
        <v>69</v>
      </c>
      <c r="U35" s="198">
        <v>51.63</v>
      </c>
      <c r="V35" s="198"/>
      <c r="W35" s="198">
        <v>28</v>
      </c>
      <c r="X35" s="198">
        <v>3.3E-4</v>
      </c>
      <c r="Y35" s="198">
        <v>3.3E-4</v>
      </c>
      <c r="Z35" s="198">
        <v>99243.5</v>
      </c>
      <c r="AA35" s="198">
        <v>32.700000000000003</v>
      </c>
      <c r="AB35" s="198">
        <v>55.33</v>
      </c>
    </row>
    <row r="36" spans="2:28" x14ac:dyDescent="0.3">
      <c r="B36" s="149">
        <f t="shared" si="6"/>
        <v>24</v>
      </c>
      <c r="C36" s="149">
        <f t="shared" si="7"/>
        <v>84</v>
      </c>
      <c r="D36" s="201">
        <f t="shared" si="8"/>
        <v>0.48489405695652538</v>
      </c>
      <c r="E36" s="149">
        <f t="shared" si="0"/>
        <v>43689.1</v>
      </c>
      <c r="F36" s="200">
        <f t="shared" si="1"/>
        <v>0.51510594304347457</v>
      </c>
      <c r="G36" s="149">
        <f t="shared" si="9"/>
        <v>84</v>
      </c>
      <c r="H36" s="201">
        <f t="shared" si="10"/>
        <v>0.60598918944270519</v>
      </c>
      <c r="I36" s="149">
        <f t="shared" si="2"/>
        <v>56851.3</v>
      </c>
      <c r="J36" s="200">
        <f t="shared" si="3"/>
        <v>0.39401081055729481</v>
      </c>
      <c r="K36" s="200">
        <f t="shared" si="4"/>
        <v>0.20295731014143914</v>
      </c>
      <c r="L36" s="200">
        <f t="shared" si="5"/>
        <v>0.79704268985856086</v>
      </c>
      <c r="P36" s="198">
        <v>29</v>
      </c>
      <c r="Q36" s="198">
        <v>7.8200000000000003E-4</v>
      </c>
      <c r="R36" s="198">
        <v>7.8200000000000003E-4</v>
      </c>
      <c r="S36" s="198">
        <v>98720.8</v>
      </c>
      <c r="T36" s="198">
        <v>77.2</v>
      </c>
      <c r="U36" s="198">
        <v>50.67</v>
      </c>
      <c r="V36" s="198"/>
      <c r="W36" s="198">
        <v>29</v>
      </c>
      <c r="X36" s="198">
        <v>3.4400000000000001E-4</v>
      </c>
      <c r="Y36" s="198">
        <v>3.4400000000000001E-4</v>
      </c>
      <c r="Z36" s="198">
        <v>99210.8</v>
      </c>
      <c r="AA36" s="198">
        <v>34.1</v>
      </c>
      <c r="AB36" s="198">
        <v>54.34</v>
      </c>
    </row>
    <row r="37" spans="2:28" x14ac:dyDescent="0.3">
      <c r="B37" s="149">
        <f t="shared" si="6"/>
        <v>25</v>
      </c>
      <c r="C37" s="149">
        <f t="shared" si="7"/>
        <v>85</v>
      </c>
      <c r="D37" s="201">
        <f t="shared" si="8"/>
        <v>0.44319053321687074</v>
      </c>
      <c r="E37" s="149">
        <f t="shared" si="0"/>
        <v>39931.599999999999</v>
      </c>
      <c r="F37" s="200">
        <f t="shared" si="1"/>
        <v>0.55680946678312926</v>
      </c>
      <c r="G37" s="149">
        <f t="shared" si="9"/>
        <v>85</v>
      </c>
      <c r="H37" s="201">
        <f t="shared" si="10"/>
        <v>0.56715773585871021</v>
      </c>
      <c r="I37" s="149">
        <f t="shared" si="2"/>
        <v>53208.3</v>
      </c>
      <c r="J37" s="200">
        <f t="shared" si="3"/>
        <v>0.43284226414128979</v>
      </c>
      <c r="K37" s="200">
        <f t="shared" si="4"/>
        <v>0.24101067029771395</v>
      </c>
      <c r="L37" s="200">
        <f t="shared" si="5"/>
        <v>0.75898932970228605</v>
      </c>
      <c r="P37" s="198">
        <v>30</v>
      </c>
      <c r="Q37" s="198">
        <v>7.9500000000000003E-4</v>
      </c>
      <c r="R37" s="198">
        <v>7.9500000000000003E-4</v>
      </c>
      <c r="S37" s="198">
        <v>98643.6</v>
      </c>
      <c r="T37" s="198">
        <v>78.400000000000006</v>
      </c>
      <c r="U37" s="198">
        <v>49.71</v>
      </c>
      <c r="V37" s="198"/>
      <c r="W37" s="198">
        <v>30</v>
      </c>
      <c r="X37" s="198">
        <v>3.6299999999999999E-4</v>
      </c>
      <c r="Y37" s="198">
        <v>3.6299999999999999E-4</v>
      </c>
      <c r="Z37" s="198">
        <v>99176.7</v>
      </c>
      <c r="AA37" s="198">
        <v>36</v>
      </c>
      <c r="AB37" s="198">
        <v>53.36</v>
      </c>
    </row>
    <row r="38" spans="2:28" x14ac:dyDescent="0.3">
      <c r="B38" s="149">
        <f t="shared" si="6"/>
        <v>26</v>
      </c>
      <c r="C38" s="149">
        <f t="shared" si="7"/>
        <v>86</v>
      </c>
      <c r="D38" s="201">
        <f t="shared" si="8"/>
        <v>0.40063684582626274</v>
      </c>
      <c r="E38" s="149">
        <f t="shared" si="0"/>
        <v>36097.5</v>
      </c>
      <c r="F38" s="200">
        <f t="shared" si="1"/>
        <v>0.5993631541737372</v>
      </c>
      <c r="G38" s="149">
        <f t="shared" si="9"/>
        <v>86</v>
      </c>
      <c r="H38" s="201">
        <f t="shared" si="10"/>
        <v>0.5261176967181399</v>
      </c>
      <c r="I38" s="149">
        <f t="shared" si="2"/>
        <v>49358.1</v>
      </c>
      <c r="J38" s="200">
        <f t="shared" si="3"/>
        <v>0.4738823032818601</v>
      </c>
      <c r="K38" s="200">
        <f t="shared" si="4"/>
        <v>0.28402759200213118</v>
      </c>
      <c r="L38" s="200">
        <f t="shared" si="5"/>
        <v>0.71597240799786888</v>
      </c>
      <c r="P38" s="198">
        <v>31</v>
      </c>
      <c r="Q38" s="198">
        <v>8.8599999999999996E-4</v>
      </c>
      <c r="R38" s="198">
        <v>8.8599999999999996E-4</v>
      </c>
      <c r="S38" s="198">
        <v>98565.2</v>
      </c>
      <c r="T38" s="198">
        <v>87.3</v>
      </c>
      <c r="U38" s="198">
        <v>48.75</v>
      </c>
      <c r="V38" s="198"/>
      <c r="W38" s="198">
        <v>31</v>
      </c>
      <c r="X38" s="198">
        <v>3.9599999999999998E-4</v>
      </c>
      <c r="Y38" s="198">
        <v>3.9599999999999998E-4</v>
      </c>
      <c r="Z38" s="198">
        <v>99140.6</v>
      </c>
      <c r="AA38" s="198">
        <v>39.200000000000003</v>
      </c>
      <c r="AB38" s="198">
        <v>52.38</v>
      </c>
    </row>
    <row r="39" spans="2:28" x14ac:dyDescent="0.3">
      <c r="B39" s="149">
        <f t="shared" si="6"/>
        <v>27</v>
      </c>
      <c r="C39" s="149">
        <f t="shared" si="7"/>
        <v>87</v>
      </c>
      <c r="D39" s="201">
        <f t="shared" si="8"/>
        <v>0.35753821019463883</v>
      </c>
      <c r="E39" s="149">
        <f t="shared" si="0"/>
        <v>32214.3</v>
      </c>
      <c r="F39" s="200">
        <f t="shared" si="1"/>
        <v>0.64246178980536117</v>
      </c>
      <c r="G39" s="149">
        <f t="shared" si="9"/>
        <v>87</v>
      </c>
      <c r="H39" s="201">
        <f t="shared" si="10"/>
        <v>0.48253224140522322</v>
      </c>
      <c r="I39" s="149">
        <f t="shared" si="2"/>
        <v>45269.1</v>
      </c>
      <c r="J39" s="200">
        <f t="shared" si="3"/>
        <v>0.51746775859477678</v>
      </c>
      <c r="K39" s="200">
        <f t="shared" si="4"/>
        <v>0.33245326235336886</v>
      </c>
      <c r="L39" s="200">
        <f t="shared" si="5"/>
        <v>0.66754673764663108</v>
      </c>
      <c r="P39" s="198">
        <v>32</v>
      </c>
      <c r="Q39" s="198">
        <v>9.2900000000000003E-4</v>
      </c>
      <c r="R39" s="198">
        <v>9.2800000000000001E-4</v>
      </c>
      <c r="S39" s="198">
        <v>98477.9</v>
      </c>
      <c r="T39" s="198">
        <v>91.4</v>
      </c>
      <c r="U39" s="198">
        <v>47.79</v>
      </c>
      <c r="V39" s="198"/>
      <c r="W39" s="198">
        <v>32</v>
      </c>
      <c r="X39" s="198">
        <v>4.64E-4</v>
      </c>
      <c r="Y39" s="198">
        <v>4.64E-4</v>
      </c>
      <c r="Z39" s="198">
        <v>99101.4</v>
      </c>
      <c r="AA39" s="198">
        <v>46</v>
      </c>
      <c r="AB39" s="198">
        <v>51.4</v>
      </c>
    </row>
    <row r="40" spans="2:28" x14ac:dyDescent="0.3">
      <c r="B40" s="149">
        <f t="shared" si="6"/>
        <v>28</v>
      </c>
      <c r="C40" s="149">
        <f t="shared" si="7"/>
        <v>88</v>
      </c>
      <c r="D40" s="201">
        <f t="shared" si="8"/>
        <v>0.31433302663809126</v>
      </c>
      <c r="E40" s="149">
        <f t="shared" si="0"/>
        <v>28321.5</v>
      </c>
      <c r="F40" s="200">
        <f t="shared" si="1"/>
        <v>0.68566697336190874</v>
      </c>
      <c r="G40" s="149">
        <f t="shared" si="9"/>
        <v>88</v>
      </c>
      <c r="H40" s="201">
        <f t="shared" si="10"/>
        <v>0.43767727576514381</v>
      </c>
      <c r="I40" s="149">
        <f t="shared" si="2"/>
        <v>41061</v>
      </c>
      <c r="J40" s="200">
        <f t="shared" si="3"/>
        <v>0.56232272423485619</v>
      </c>
      <c r="K40" s="200">
        <f t="shared" si="4"/>
        <v>0.38556612037873711</v>
      </c>
      <c r="L40" s="200">
        <f t="shared" si="5"/>
        <v>0.61443387962126295</v>
      </c>
      <c r="P40" s="198">
        <v>33</v>
      </c>
      <c r="Q40" s="198">
        <v>9.9200000000000004E-4</v>
      </c>
      <c r="R40" s="198">
        <v>9.9200000000000004E-4</v>
      </c>
      <c r="S40" s="198">
        <v>98386.5</v>
      </c>
      <c r="T40" s="198">
        <v>97.6</v>
      </c>
      <c r="U40" s="198">
        <v>46.83</v>
      </c>
      <c r="V40" s="198"/>
      <c r="W40" s="198">
        <v>33</v>
      </c>
      <c r="X40" s="198">
        <v>4.8799999999999999E-4</v>
      </c>
      <c r="Y40" s="198">
        <v>4.8799999999999999E-4</v>
      </c>
      <c r="Z40" s="198">
        <v>99055.4</v>
      </c>
      <c r="AA40" s="198">
        <v>48.4</v>
      </c>
      <c r="AB40" s="198">
        <v>50.43</v>
      </c>
    </row>
    <row r="41" spans="2:28" x14ac:dyDescent="0.3">
      <c r="B41" s="149">
        <f t="shared" si="6"/>
        <v>29</v>
      </c>
      <c r="C41" s="149">
        <f t="shared" si="7"/>
        <v>89</v>
      </c>
      <c r="D41" s="201">
        <f t="shared" si="8"/>
        <v>0.27152850767422543</v>
      </c>
      <c r="E41" s="149">
        <f t="shared" si="0"/>
        <v>24464.799999999999</v>
      </c>
      <c r="F41" s="200">
        <f t="shared" si="1"/>
        <v>0.72847149232577457</v>
      </c>
      <c r="G41" s="149">
        <f t="shared" si="9"/>
        <v>89</v>
      </c>
      <c r="H41" s="201">
        <f t="shared" si="10"/>
        <v>0.39097080765799325</v>
      </c>
      <c r="I41" s="149">
        <f t="shared" si="2"/>
        <v>36679.199999999997</v>
      </c>
      <c r="J41" s="200">
        <f t="shared" si="3"/>
        <v>0.60902919234200681</v>
      </c>
      <c r="K41" s="200">
        <f t="shared" si="4"/>
        <v>0.4436604046153429</v>
      </c>
      <c r="L41" s="200">
        <f t="shared" si="5"/>
        <v>0.55633959538465705</v>
      </c>
      <c r="P41" s="198">
        <v>34</v>
      </c>
      <c r="Q41" s="198">
        <v>1.0300000000000001E-3</v>
      </c>
      <c r="R41" s="198">
        <v>1.0300000000000001E-3</v>
      </c>
      <c r="S41" s="198">
        <v>98288.9</v>
      </c>
      <c r="T41" s="198">
        <v>101.2</v>
      </c>
      <c r="U41" s="198">
        <v>45.88</v>
      </c>
      <c r="V41" s="198"/>
      <c r="W41" s="198">
        <v>34</v>
      </c>
      <c r="X41" s="198">
        <v>5.7300000000000005E-4</v>
      </c>
      <c r="Y41" s="198">
        <v>5.7300000000000005E-4</v>
      </c>
      <c r="Z41" s="198">
        <v>99007.1</v>
      </c>
      <c r="AA41" s="198">
        <v>56.7</v>
      </c>
      <c r="AB41" s="198">
        <v>49.45</v>
      </c>
    </row>
    <row r="42" spans="2:28" x14ac:dyDescent="0.3">
      <c r="B42" s="149">
        <f t="shared" si="6"/>
        <v>30</v>
      </c>
      <c r="C42" s="149">
        <f t="shared" si="7"/>
        <v>90</v>
      </c>
      <c r="D42" s="201">
        <f t="shared" si="8"/>
        <v>0.23042098638961259</v>
      </c>
      <c r="E42" s="149">
        <f t="shared" si="0"/>
        <v>20761</v>
      </c>
      <c r="F42" s="200">
        <f t="shared" si="1"/>
        <v>0.76957901361038739</v>
      </c>
      <c r="G42" s="149">
        <f t="shared" si="9"/>
        <v>90</v>
      </c>
      <c r="H42" s="201">
        <f t="shared" si="10"/>
        <v>0.34414708838712499</v>
      </c>
      <c r="I42" s="149">
        <f t="shared" si="2"/>
        <v>32286.400000000001</v>
      </c>
      <c r="J42" s="200">
        <f t="shared" si="3"/>
        <v>0.65585291161287507</v>
      </c>
      <c r="K42" s="200">
        <f t="shared" si="4"/>
        <v>0.50473063679253694</v>
      </c>
      <c r="L42" s="200">
        <f t="shared" si="5"/>
        <v>0.49526936320746306</v>
      </c>
      <c r="P42" s="198">
        <v>35</v>
      </c>
      <c r="Q42" s="198">
        <v>1.129E-3</v>
      </c>
      <c r="R42" s="198">
        <v>1.129E-3</v>
      </c>
      <c r="S42" s="198">
        <v>98187.7</v>
      </c>
      <c r="T42" s="198">
        <v>110.8</v>
      </c>
      <c r="U42" s="198">
        <v>44.93</v>
      </c>
      <c r="V42" s="198"/>
      <c r="W42" s="198">
        <v>35</v>
      </c>
      <c r="X42" s="198">
        <v>6.3100000000000005E-4</v>
      </c>
      <c r="Y42" s="198">
        <v>6.3100000000000005E-4</v>
      </c>
      <c r="Z42" s="198">
        <v>98950.399999999994</v>
      </c>
      <c r="AA42" s="198">
        <v>62.5</v>
      </c>
      <c r="AB42" s="198">
        <v>48.48</v>
      </c>
    </row>
    <row r="43" spans="2:28" x14ac:dyDescent="0.3">
      <c r="B43" s="149">
        <f t="shared" si="6"/>
        <v>31</v>
      </c>
      <c r="C43" s="149">
        <f t="shared" si="7"/>
        <v>91</v>
      </c>
      <c r="D43" s="201">
        <f t="shared" si="8"/>
        <v>0.19110036259590713</v>
      </c>
      <c r="E43" s="149">
        <f t="shared" si="0"/>
        <v>17218.2</v>
      </c>
      <c r="F43" s="200">
        <f t="shared" si="1"/>
        <v>0.80889963740409287</v>
      </c>
      <c r="G43" s="149">
        <f t="shared" si="9"/>
        <v>91</v>
      </c>
      <c r="H43" s="201">
        <f t="shared" si="10"/>
        <v>0.29737453326042446</v>
      </c>
      <c r="I43" s="149">
        <f t="shared" si="2"/>
        <v>27898.400000000001</v>
      </c>
      <c r="J43" s="200">
        <f t="shared" si="3"/>
        <v>0.70262546673957549</v>
      </c>
      <c r="K43" s="200">
        <f t="shared" si="4"/>
        <v>0.56835348527652418</v>
      </c>
      <c r="L43" s="200">
        <f t="shared" si="5"/>
        <v>0.43164651472347582</v>
      </c>
      <c r="P43" s="198">
        <v>36</v>
      </c>
      <c r="Q43" s="198">
        <v>1.271E-3</v>
      </c>
      <c r="R43" s="198">
        <v>1.2700000000000001E-3</v>
      </c>
      <c r="S43" s="198">
        <v>98076.9</v>
      </c>
      <c r="T43" s="198">
        <v>124.6</v>
      </c>
      <c r="U43" s="198">
        <v>43.98</v>
      </c>
      <c r="V43" s="198"/>
      <c r="W43" s="198">
        <v>36</v>
      </c>
      <c r="X43" s="198">
        <v>6.2200000000000005E-4</v>
      </c>
      <c r="Y43" s="198">
        <v>6.2200000000000005E-4</v>
      </c>
      <c r="Z43" s="198">
        <v>98887.9</v>
      </c>
      <c r="AA43" s="198">
        <v>61.5</v>
      </c>
      <c r="AB43" s="198">
        <v>47.51</v>
      </c>
    </row>
    <row r="44" spans="2:28" x14ac:dyDescent="0.3">
      <c r="B44" s="149">
        <f t="shared" si="6"/>
        <v>32</v>
      </c>
      <c r="C44" s="149">
        <f t="shared" si="7"/>
        <v>92</v>
      </c>
      <c r="D44" s="201">
        <f t="shared" si="8"/>
        <v>0.15535242390979839</v>
      </c>
      <c r="E44" s="149">
        <f t="shared" si="0"/>
        <v>13997.3</v>
      </c>
      <c r="F44" s="200">
        <f t="shared" si="1"/>
        <v>0.84464757609020158</v>
      </c>
      <c r="G44" s="149">
        <f t="shared" si="9"/>
        <v>92</v>
      </c>
      <c r="H44" s="201">
        <f t="shared" si="10"/>
        <v>0.25174890769881803</v>
      </c>
      <c r="I44" s="149">
        <f t="shared" si="2"/>
        <v>23618</v>
      </c>
      <c r="J44" s="200">
        <f t="shared" si="3"/>
        <v>0.74825109230118203</v>
      </c>
      <c r="K44" s="200">
        <f t="shared" si="4"/>
        <v>0.63200847141903904</v>
      </c>
      <c r="L44" s="200">
        <f t="shared" si="5"/>
        <v>0.36799152858096096</v>
      </c>
      <c r="P44" s="198">
        <v>37</v>
      </c>
      <c r="Q44" s="198">
        <v>1.343E-3</v>
      </c>
      <c r="R44" s="198">
        <v>1.3420000000000001E-3</v>
      </c>
      <c r="S44" s="198">
        <v>97952.4</v>
      </c>
      <c r="T44" s="198">
        <v>131.4</v>
      </c>
      <c r="U44" s="198">
        <v>43.03</v>
      </c>
      <c r="V44" s="198"/>
      <c r="W44" s="198">
        <v>37</v>
      </c>
      <c r="X44" s="198">
        <v>7.4399999999999998E-4</v>
      </c>
      <c r="Y44" s="198">
        <v>7.4399999999999998E-4</v>
      </c>
      <c r="Z44" s="198">
        <v>98826.4</v>
      </c>
      <c r="AA44" s="198">
        <v>73.5</v>
      </c>
      <c r="AB44" s="198">
        <v>46.54</v>
      </c>
    </row>
    <row r="45" spans="2:28" x14ac:dyDescent="0.3">
      <c r="B45" s="149">
        <f t="shared" si="6"/>
        <v>33</v>
      </c>
      <c r="C45" s="149">
        <f t="shared" si="7"/>
        <v>93</v>
      </c>
      <c r="D45" s="201">
        <f t="shared" si="8"/>
        <v>0.12273877001519425</v>
      </c>
      <c r="E45" s="149">
        <f t="shared" si="0"/>
        <v>11058.8</v>
      </c>
      <c r="F45" s="200">
        <f t="shared" si="1"/>
        <v>0.87726122998480571</v>
      </c>
      <c r="G45" s="149">
        <f t="shared" si="9"/>
        <v>93</v>
      </c>
      <c r="H45" s="201">
        <f t="shared" si="10"/>
        <v>0.20816451830557145</v>
      </c>
      <c r="I45" s="149">
        <f t="shared" si="2"/>
        <v>19529.099999999999</v>
      </c>
      <c r="J45" s="200">
        <f t="shared" si="3"/>
        <v>0.79183548169442852</v>
      </c>
      <c r="K45" s="200">
        <f t="shared" si="4"/>
        <v>0.69464656861686547</v>
      </c>
      <c r="L45" s="200">
        <f t="shared" si="5"/>
        <v>0.30535343138313453</v>
      </c>
      <c r="P45" s="198">
        <v>38</v>
      </c>
      <c r="Q45" s="198">
        <v>1.4469999999999999E-3</v>
      </c>
      <c r="R45" s="198">
        <v>1.446E-3</v>
      </c>
      <c r="S45" s="198">
        <v>97820.9</v>
      </c>
      <c r="T45" s="198">
        <v>141.5</v>
      </c>
      <c r="U45" s="198">
        <v>42.09</v>
      </c>
      <c r="V45" s="198"/>
      <c r="W45" s="198">
        <v>38</v>
      </c>
      <c r="X45" s="198">
        <v>8.7000000000000001E-4</v>
      </c>
      <c r="Y45" s="198">
        <v>8.7000000000000001E-4</v>
      </c>
      <c r="Z45" s="198">
        <v>98752.9</v>
      </c>
      <c r="AA45" s="198">
        <v>85.9</v>
      </c>
      <c r="AB45" s="198">
        <v>45.57</v>
      </c>
    </row>
    <row r="46" spans="2:28" x14ac:dyDescent="0.3">
      <c r="B46" s="149">
        <f t="shared" si="6"/>
        <v>34</v>
      </c>
      <c r="C46" s="149">
        <f t="shared" si="7"/>
        <v>94</v>
      </c>
      <c r="D46" s="201">
        <f t="shared" si="8"/>
        <v>9.4573491986153266E-2</v>
      </c>
      <c r="E46" s="149">
        <f t="shared" si="0"/>
        <v>8521.1</v>
      </c>
      <c r="F46" s="200">
        <f t="shared" si="1"/>
        <v>0.90542650801384672</v>
      </c>
      <c r="G46" s="149">
        <f t="shared" si="9"/>
        <v>94</v>
      </c>
      <c r="H46" s="201">
        <f t="shared" si="10"/>
        <v>0.16811365261891134</v>
      </c>
      <c r="I46" s="149">
        <f t="shared" si="2"/>
        <v>15771.7</v>
      </c>
      <c r="J46" s="200">
        <f t="shared" si="3"/>
        <v>0.83188634738108869</v>
      </c>
      <c r="K46" s="200">
        <f t="shared" si="4"/>
        <v>0.75321195057365298</v>
      </c>
      <c r="L46" s="200">
        <f t="shared" si="5"/>
        <v>0.24678804942634702</v>
      </c>
      <c r="P46" s="198">
        <v>39</v>
      </c>
      <c r="Q46" s="198">
        <v>1.6169999999999999E-3</v>
      </c>
      <c r="R46" s="198">
        <v>1.616E-3</v>
      </c>
      <c r="S46" s="198">
        <v>97679.4</v>
      </c>
      <c r="T46" s="198">
        <v>157.80000000000001</v>
      </c>
      <c r="U46" s="198">
        <v>41.15</v>
      </c>
      <c r="V46" s="198"/>
      <c r="W46" s="198">
        <v>39</v>
      </c>
      <c r="X46" s="198">
        <v>9.4399999999999996E-4</v>
      </c>
      <c r="Y46" s="198">
        <v>9.4300000000000004E-4</v>
      </c>
      <c r="Z46" s="198">
        <v>98667.1</v>
      </c>
      <c r="AA46" s="198">
        <v>93.1</v>
      </c>
      <c r="AB46" s="198">
        <v>44.61</v>
      </c>
    </row>
    <row r="47" spans="2:28" x14ac:dyDescent="0.3">
      <c r="B47" s="149">
        <f t="shared" si="6"/>
        <v>35</v>
      </c>
      <c r="C47" s="149">
        <f t="shared" si="7"/>
        <v>95</v>
      </c>
      <c r="D47" s="201">
        <f t="shared" si="8"/>
        <v>7.0646823595481967E-2</v>
      </c>
      <c r="E47" s="149">
        <f t="shared" si="0"/>
        <v>6365.3</v>
      </c>
      <c r="F47" s="200">
        <f t="shared" si="1"/>
        <v>0.92935317640451798</v>
      </c>
      <c r="G47" s="149">
        <f t="shared" si="9"/>
        <v>95</v>
      </c>
      <c r="H47" s="201">
        <f t="shared" si="10"/>
        <v>0.13261959352219296</v>
      </c>
      <c r="I47" s="149">
        <f t="shared" si="2"/>
        <v>12441.8</v>
      </c>
      <c r="J47" s="200">
        <f t="shared" si="3"/>
        <v>0.86738040647780701</v>
      </c>
      <c r="K47" s="200">
        <f t="shared" si="4"/>
        <v>0.80610273591119186</v>
      </c>
      <c r="L47" s="200">
        <f t="shared" si="5"/>
        <v>0.19389726408880814</v>
      </c>
      <c r="P47" s="198">
        <v>40</v>
      </c>
      <c r="Q47" s="198">
        <v>1.7329999999999999E-3</v>
      </c>
      <c r="R47" s="198">
        <v>1.7309999999999999E-3</v>
      </c>
      <c r="S47" s="198">
        <v>97521.600000000006</v>
      </c>
      <c r="T47" s="198">
        <v>168.9</v>
      </c>
      <c r="U47" s="198">
        <v>40.21</v>
      </c>
      <c r="V47" s="198"/>
      <c r="W47" s="198">
        <v>40</v>
      </c>
      <c r="X47" s="198">
        <v>1.0039999999999999E-3</v>
      </c>
      <c r="Y47" s="198">
        <v>1.0039999999999999E-3</v>
      </c>
      <c r="Z47" s="198">
        <v>98574</v>
      </c>
      <c r="AA47" s="198">
        <v>99</v>
      </c>
      <c r="AB47" s="198">
        <v>43.65</v>
      </c>
    </row>
    <row r="48" spans="2:28" x14ac:dyDescent="0.3">
      <c r="B48" s="149">
        <f t="shared" si="6"/>
        <v>36</v>
      </c>
      <c r="C48" s="149">
        <f t="shared" si="7"/>
        <v>96</v>
      </c>
      <c r="D48" s="201">
        <f t="shared" si="8"/>
        <v>5.1119696604783806E-2</v>
      </c>
      <c r="E48" s="149">
        <f t="shared" si="0"/>
        <v>4605.8999999999996</v>
      </c>
      <c r="F48" s="200">
        <f t="shared" si="1"/>
        <v>0.94888030339521623</v>
      </c>
      <c r="G48" s="149">
        <f t="shared" si="9"/>
        <v>96</v>
      </c>
      <c r="H48" s="201">
        <f t="shared" si="10"/>
        <v>0.10174416435628579</v>
      </c>
      <c r="I48" s="149">
        <f t="shared" si="2"/>
        <v>9545.2000000000007</v>
      </c>
      <c r="J48" s="200">
        <f t="shared" si="3"/>
        <v>0.89825583564371425</v>
      </c>
      <c r="K48" s="200">
        <f t="shared" si="4"/>
        <v>0.8523372698521311</v>
      </c>
      <c r="L48" s="200">
        <f t="shared" si="5"/>
        <v>0.1476627301478689</v>
      </c>
      <c r="P48" s="198">
        <v>41</v>
      </c>
      <c r="Q48" s="198">
        <v>1.8730000000000001E-3</v>
      </c>
      <c r="R48" s="198">
        <v>1.8710000000000001E-3</v>
      </c>
      <c r="S48" s="198">
        <v>97352.7</v>
      </c>
      <c r="T48" s="198">
        <v>182.2</v>
      </c>
      <c r="U48" s="198">
        <v>39.28</v>
      </c>
      <c r="V48" s="198"/>
      <c r="W48" s="198">
        <v>41</v>
      </c>
      <c r="X48" s="198">
        <v>1.077E-3</v>
      </c>
      <c r="Y48" s="198">
        <v>1.077E-3</v>
      </c>
      <c r="Z48" s="198">
        <v>98475</v>
      </c>
      <c r="AA48" s="198">
        <v>106</v>
      </c>
      <c r="AB48" s="198">
        <v>42.7</v>
      </c>
    </row>
    <row r="49" spans="2:28" x14ac:dyDescent="0.3">
      <c r="B49" s="149">
        <f t="shared" si="6"/>
        <v>37</v>
      </c>
      <c r="C49" s="149">
        <f t="shared" si="7"/>
        <v>97</v>
      </c>
      <c r="D49" s="201">
        <f t="shared" si="8"/>
        <v>3.5903321076622405E-2</v>
      </c>
      <c r="E49" s="149">
        <f t="shared" si="0"/>
        <v>3234.9</v>
      </c>
      <c r="F49" s="200">
        <f t="shared" si="1"/>
        <v>0.96409667892337758</v>
      </c>
      <c r="G49" s="149">
        <f t="shared" si="9"/>
        <v>97</v>
      </c>
      <c r="H49" s="201">
        <f t="shared" si="10"/>
        <v>7.5986215526825468E-2</v>
      </c>
      <c r="I49" s="149">
        <f t="shared" si="2"/>
        <v>7128.7</v>
      </c>
      <c r="J49" s="200">
        <f t="shared" si="3"/>
        <v>0.9240137844731745</v>
      </c>
      <c r="K49" s="200">
        <f t="shared" si="4"/>
        <v>0.89083862089000909</v>
      </c>
      <c r="L49" s="200">
        <f t="shared" si="5"/>
        <v>0.10916137910999091</v>
      </c>
      <c r="P49" s="198">
        <v>42</v>
      </c>
      <c r="Q49" s="198">
        <v>1.9719999999999998E-3</v>
      </c>
      <c r="R49" s="198">
        <v>1.97E-3</v>
      </c>
      <c r="S49" s="198">
        <v>97170.6</v>
      </c>
      <c r="T49" s="198">
        <v>191.5</v>
      </c>
      <c r="U49" s="198">
        <v>38.36</v>
      </c>
      <c r="V49" s="198"/>
      <c r="W49" s="198">
        <v>42</v>
      </c>
      <c r="X49" s="198">
        <v>1.1999999999999999E-3</v>
      </c>
      <c r="Y49" s="198">
        <v>1.199E-3</v>
      </c>
      <c r="Z49" s="198">
        <v>98369</v>
      </c>
      <c r="AA49" s="198">
        <v>117.9</v>
      </c>
      <c r="AB49" s="198">
        <v>41.74</v>
      </c>
    </row>
    <row r="50" spans="2:28" x14ac:dyDescent="0.3">
      <c r="B50" s="149">
        <f t="shared" si="6"/>
        <v>38</v>
      </c>
      <c r="C50" s="149">
        <f t="shared" si="7"/>
        <v>98</v>
      </c>
      <c r="D50" s="201">
        <f t="shared" si="8"/>
        <v>2.4115347007723626E-2</v>
      </c>
      <c r="E50" s="149">
        <f t="shared" si="0"/>
        <v>2172.8000000000002</v>
      </c>
      <c r="F50" s="200">
        <f t="shared" si="1"/>
        <v>0.97588465299227634</v>
      </c>
      <c r="G50" s="149">
        <f t="shared" si="9"/>
        <v>98</v>
      </c>
      <c r="H50" s="201">
        <f t="shared" si="10"/>
        <v>5.4768018572584336E-2</v>
      </c>
      <c r="I50" s="149">
        <f t="shared" si="2"/>
        <v>5138.1000000000004</v>
      </c>
      <c r="J50" s="200">
        <f t="shared" si="3"/>
        <v>0.94523198142741571</v>
      </c>
      <c r="K50" s="200">
        <f t="shared" si="4"/>
        <v>0.92243738419249532</v>
      </c>
      <c r="L50" s="200">
        <f t="shared" si="5"/>
        <v>7.7562615807504676E-2</v>
      </c>
      <c r="P50" s="198">
        <v>43</v>
      </c>
      <c r="Q50" s="198">
        <v>2.117E-3</v>
      </c>
      <c r="R50" s="198">
        <v>2.1150000000000001E-3</v>
      </c>
      <c r="S50" s="198">
        <v>96979.1</v>
      </c>
      <c r="T50" s="198">
        <v>205.1</v>
      </c>
      <c r="U50" s="198">
        <v>37.43</v>
      </c>
      <c r="V50" s="198"/>
      <c r="W50" s="198">
        <v>43</v>
      </c>
      <c r="X50" s="198">
        <v>1.2390000000000001E-3</v>
      </c>
      <c r="Y50" s="198">
        <v>1.238E-3</v>
      </c>
      <c r="Z50" s="198">
        <v>98251.1</v>
      </c>
      <c r="AA50" s="198">
        <v>121.6</v>
      </c>
      <c r="AB50" s="198">
        <v>40.79</v>
      </c>
    </row>
    <row r="51" spans="2:28" x14ac:dyDescent="0.3">
      <c r="B51" s="149">
        <f t="shared" si="6"/>
        <v>39</v>
      </c>
      <c r="C51" s="149">
        <f t="shared" si="7"/>
        <v>99</v>
      </c>
      <c r="D51" s="201">
        <f t="shared" si="8"/>
        <v>1.5926695027652524E-2</v>
      </c>
      <c r="E51" s="149">
        <f t="shared" si="0"/>
        <v>1435</v>
      </c>
      <c r="F51" s="200">
        <f t="shared" si="1"/>
        <v>0.98407330497234746</v>
      </c>
      <c r="G51" s="149">
        <f t="shared" si="9"/>
        <v>99</v>
      </c>
      <c r="H51" s="201">
        <f t="shared" si="10"/>
        <v>3.8056529983787363E-2</v>
      </c>
      <c r="I51" s="149">
        <f t="shared" si="2"/>
        <v>3570.3</v>
      </c>
      <c r="J51" s="200">
        <f t="shared" si="3"/>
        <v>0.96194347001621261</v>
      </c>
      <c r="K51" s="200">
        <f t="shared" si="4"/>
        <v>0.94662288973542252</v>
      </c>
      <c r="L51" s="200">
        <f t="shared" si="5"/>
        <v>5.3377110264577476E-2</v>
      </c>
      <c r="P51" s="198">
        <v>44</v>
      </c>
      <c r="Q51" s="198">
        <v>2.2769999999999999E-3</v>
      </c>
      <c r="R51" s="198">
        <v>2.2750000000000001E-3</v>
      </c>
      <c r="S51" s="198">
        <v>96774</v>
      </c>
      <c r="T51" s="198">
        <v>220.1</v>
      </c>
      <c r="U51" s="198">
        <v>36.51</v>
      </c>
      <c r="V51" s="198"/>
      <c r="W51" s="198">
        <v>44</v>
      </c>
      <c r="X51" s="198">
        <v>1.3879999999999999E-3</v>
      </c>
      <c r="Y51" s="198">
        <v>1.387E-3</v>
      </c>
      <c r="Z51" s="198">
        <v>98129.5</v>
      </c>
      <c r="AA51" s="198">
        <v>136.1</v>
      </c>
      <c r="AB51" s="198">
        <v>39.840000000000003</v>
      </c>
    </row>
    <row r="52" spans="2:28" x14ac:dyDescent="0.3">
      <c r="B52" s="149">
        <f t="shared" si="6"/>
        <v>40</v>
      </c>
      <c r="C52" s="149">
        <f t="shared" si="7"/>
        <v>100</v>
      </c>
      <c r="D52" s="201">
        <f t="shared" si="8"/>
        <v>9.9000780241575263E-3</v>
      </c>
      <c r="E52" s="149">
        <f t="shared" si="0"/>
        <v>892</v>
      </c>
      <c r="F52" s="200">
        <f t="shared" si="1"/>
        <v>0.99009992197584251</v>
      </c>
      <c r="G52" s="149">
        <f t="shared" si="9"/>
        <v>100</v>
      </c>
      <c r="H52" s="201">
        <f t="shared" si="10"/>
        <v>2.5673741175517531E-2</v>
      </c>
      <c r="I52" s="149">
        <f t="shared" si="2"/>
        <v>2408.6</v>
      </c>
      <c r="J52" s="200">
        <f t="shared" si="3"/>
        <v>0.97432625882448243</v>
      </c>
      <c r="K52" s="200">
        <f t="shared" si="4"/>
        <v>0.96468035284113463</v>
      </c>
      <c r="L52" s="200">
        <f t="shared" si="5"/>
        <v>3.5319647158865375E-2</v>
      </c>
      <c r="P52" s="198">
        <v>45</v>
      </c>
      <c r="Q52" s="198">
        <v>2.5070000000000001E-3</v>
      </c>
      <c r="R52" s="198">
        <v>2.503E-3</v>
      </c>
      <c r="S52" s="198">
        <v>96553.9</v>
      </c>
      <c r="T52" s="198">
        <v>241.7</v>
      </c>
      <c r="U52" s="198">
        <v>35.590000000000003</v>
      </c>
      <c r="V52" s="198"/>
      <c r="W52" s="198">
        <v>45</v>
      </c>
      <c r="X52" s="198">
        <v>1.474E-3</v>
      </c>
      <c r="Y52" s="198">
        <v>1.4729999999999999E-3</v>
      </c>
      <c r="Z52" s="198">
        <v>97993.4</v>
      </c>
      <c r="AA52" s="198">
        <v>144.30000000000001</v>
      </c>
      <c r="AB52" s="198">
        <v>38.9</v>
      </c>
    </row>
    <row r="53" spans="2:28" x14ac:dyDescent="0.3">
      <c r="B53" s="149">
        <f t="shared" si="6"/>
        <v>41</v>
      </c>
      <c r="C53" s="149">
        <f t="shared" si="7"/>
        <v>101</v>
      </c>
      <c r="D53" s="201">
        <f t="shared" si="8"/>
        <v>0</v>
      </c>
      <c r="E53" s="149">
        <f t="shared" si="0"/>
        <v>0</v>
      </c>
      <c r="F53" s="200">
        <f t="shared" si="1"/>
        <v>1</v>
      </c>
      <c r="G53" s="149">
        <f t="shared" si="9"/>
        <v>101</v>
      </c>
      <c r="H53" s="201">
        <f t="shared" si="10"/>
        <v>0</v>
      </c>
      <c r="I53" s="149">
        <f t="shared" si="2"/>
        <v>0</v>
      </c>
      <c r="J53" s="200">
        <f t="shared" si="3"/>
        <v>1</v>
      </c>
      <c r="K53" s="200">
        <f t="shared" si="4"/>
        <v>1</v>
      </c>
      <c r="L53" s="200">
        <f t="shared" si="5"/>
        <v>0</v>
      </c>
      <c r="P53" s="198">
        <v>46</v>
      </c>
      <c r="Q53" s="198">
        <v>2.6830000000000001E-3</v>
      </c>
      <c r="R53" s="198">
        <v>2.6800000000000001E-3</v>
      </c>
      <c r="S53" s="198">
        <v>96312.1</v>
      </c>
      <c r="T53" s="198">
        <v>258.10000000000002</v>
      </c>
      <c r="U53" s="198">
        <v>34.68</v>
      </c>
      <c r="V53" s="198"/>
      <c r="W53" s="198">
        <v>46</v>
      </c>
      <c r="X53" s="198">
        <v>1.6310000000000001E-3</v>
      </c>
      <c r="Y53" s="198">
        <v>1.6299999999999999E-3</v>
      </c>
      <c r="Z53" s="198">
        <v>97849</v>
      </c>
      <c r="AA53" s="198">
        <v>159.5</v>
      </c>
      <c r="AB53" s="198">
        <v>37.950000000000003</v>
      </c>
    </row>
    <row r="54" spans="2:28" x14ac:dyDescent="0.3">
      <c r="B54" s="149">
        <f t="shared" si="6"/>
        <v>42</v>
      </c>
      <c r="C54" s="149">
        <f t="shared" si="7"/>
        <v>102</v>
      </c>
      <c r="D54" s="201">
        <f t="shared" si="8"/>
        <v>0</v>
      </c>
      <c r="E54" s="149">
        <f t="shared" si="0"/>
        <v>0</v>
      </c>
      <c r="F54" s="200">
        <f t="shared" si="1"/>
        <v>1</v>
      </c>
      <c r="G54" s="149">
        <f t="shared" si="9"/>
        <v>102</v>
      </c>
      <c r="H54" s="201">
        <f t="shared" si="10"/>
        <v>0</v>
      </c>
      <c r="I54" s="149">
        <f t="shared" si="2"/>
        <v>0</v>
      </c>
      <c r="J54" s="200">
        <f t="shared" si="3"/>
        <v>1</v>
      </c>
      <c r="K54" s="200">
        <f t="shared" si="4"/>
        <v>1</v>
      </c>
      <c r="L54" s="200">
        <f t="shared" si="5"/>
        <v>0</v>
      </c>
      <c r="P54" s="198">
        <v>47</v>
      </c>
      <c r="Q54" s="198">
        <v>2.9399999999999999E-3</v>
      </c>
      <c r="R54" s="198">
        <v>2.9359999999999998E-3</v>
      </c>
      <c r="S54" s="198">
        <v>96054.1</v>
      </c>
      <c r="T54" s="198">
        <v>282</v>
      </c>
      <c r="U54" s="198">
        <v>33.770000000000003</v>
      </c>
      <c r="V54" s="198"/>
      <c r="W54" s="198">
        <v>47</v>
      </c>
      <c r="X54" s="198">
        <v>1.9189999999999999E-3</v>
      </c>
      <c r="Y54" s="198">
        <v>1.9170000000000001E-3</v>
      </c>
      <c r="Z54" s="198">
        <v>97689.600000000006</v>
      </c>
      <c r="AA54" s="198">
        <v>187.3</v>
      </c>
      <c r="AB54" s="198">
        <v>37.01</v>
      </c>
    </row>
    <row r="55" spans="2:28" x14ac:dyDescent="0.3">
      <c r="B55" s="149">
        <f t="shared" si="6"/>
        <v>43</v>
      </c>
      <c r="C55" s="149">
        <f t="shared" si="7"/>
        <v>103</v>
      </c>
      <c r="D55" s="201">
        <f t="shared" si="8"/>
        <v>0</v>
      </c>
      <c r="E55" s="149">
        <f t="shared" si="0"/>
        <v>0</v>
      </c>
      <c r="F55" s="200">
        <f t="shared" si="1"/>
        <v>1</v>
      </c>
      <c r="G55" s="149">
        <f t="shared" si="9"/>
        <v>103</v>
      </c>
      <c r="H55" s="201">
        <f t="shared" si="10"/>
        <v>0</v>
      </c>
      <c r="I55" s="149">
        <f t="shared" si="2"/>
        <v>0</v>
      </c>
      <c r="J55" s="200">
        <f t="shared" si="3"/>
        <v>1</v>
      </c>
      <c r="K55" s="200">
        <f t="shared" si="4"/>
        <v>1</v>
      </c>
      <c r="L55" s="200">
        <f t="shared" si="5"/>
        <v>0</v>
      </c>
      <c r="P55" s="198">
        <v>48</v>
      </c>
      <c r="Q55" s="198">
        <v>3.2680000000000001E-3</v>
      </c>
      <c r="R55" s="198">
        <v>3.2620000000000001E-3</v>
      </c>
      <c r="S55" s="198">
        <v>95772.1</v>
      </c>
      <c r="T55" s="198">
        <v>312.39999999999998</v>
      </c>
      <c r="U55" s="198">
        <v>32.869999999999997</v>
      </c>
      <c r="V55" s="198"/>
      <c r="W55" s="198">
        <v>48</v>
      </c>
      <c r="X55" s="198">
        <v>1.9910000000000001E-3</v>
      </c>
      <c r="Y55" s="198">
        <v>1.9889999999999999E-3</v>
      </c>
      <c r="Z55" s="198">
        <v>97502.3</v>
      </c>
      <c r="AA55" s="198">
        <v>194</v>
      </c>
      <c r="AB55" s="198">
        <v>36.08</v>
      </c>
    </row>
    <row r="56" spans="2:28" x14ac:dyDescent="0.3">
      <c r="B56" s="149">
        <f t="shared" si="6"/>
        <v>44</v>
      </c>
      <c r="C56" s="149">
        <f t="shared" si="7"/>
        <v>104</v>
      </c>
      <c r="D56" s="201">
        <f t="shared" si="8"/>
        <v>0</v>
      </c>
      <c r="E56" s="149">
        <f t="shared" si="0"/>
        <v>0</v>
      </c>
      <c r="F56" s="200">
        <f t="shared" si="1"/>
        <v>1</v>
      </c>
      <c r="G56" s="149">
        <f t="shared" si="9"/>
        <v>104</v>
      </c>
      <c r="H56" s="201">
        <f t="shared" si="10"/>
        <v>0</v>
      </c>
      <c r="I56" s="149">
        <f t="shared" si="2"/>
        <v>0</v>
      </c>
      <c r="J56" s="200">
        <f t="shared" si="3"/>
        <v>1</v>
      </c>
      <c r="K56" s="200">
        <f t="shared" si="4"/>
        <v>1</v>
      </c>
      <c r="L56" s="200">
        <f t="shared" si="5"/>
        <v>0</v>
      </c>
      <c r="P56" s="198">
        <v>49</v>
      </c>
      <c r="Q56" s="198">
        <v>3.5249999999999999E-3</v>
      </c>
      <c r="R56" s="198">
        <v>3.519E-3</v>
      </c>
      <c r="S56" s="198">
        <v>95459.6</v>
      </c>
      <c r="T56" s="198">
        <v>335.9</v>
      </c>
      <c r="U56" s="198">
        <v>31.97</v>
      </c>
      <c r="V56" s="198"/>
      <c r="W56" s="198">
        <v>49</v>
      </c>
      <c r="X56" s="198">
        <v>2.1320000000000002E-3</v>
      </c>
      <c r="Y56" s="198">
        <v>2.1299999999999999E-3</v>
      </c>
      <c r="Z56" s="198">
        <v>97308.3</v>
      </c>
      <c r="AA56" s="198">
        <v>207.2</v>
      </c>
      <c r="AB56" s="198">
        <v>35.15</v>
      </c>
    </row>
    <row r="57" spans="2:28" x14ac:dyDescent="0.3">
      <c r="B57" s="149">
        <f t="shared" si="6"/>
        <v>45</v>
      </c>
      <c r="C57" s="149">
        <f t="shared" si="7"/>
        <v>105</v>
      </c>
      <c r="D57" s="201">
        <f t="shared" si="8"/>
        <v>0</v>
      </c>
      <c r="E57" s="149">
        <f t="shared" si="0"/>
        <v>0</v>
      </c>
      <c r="F57" s="200">
        <f t="shared" si="1"/>
        <v>1</v>
      </c>
      <c r="G57" s="149">
        <f t="shared" si="9"/>
        <v>105</v>
      </c>
      <c r="H57" s="201">
        <f t="shared" si="10"/>
        <v>0</v>
      </c>
      <c r="I57" s="149">
        <f t="shared" si="2"/>
        <v>0</v>
      </c>
      <c r="J57" s="200">
        <f t="shared" si="3"/>
        <v>1</v>
      </c>
      <c r="K57" s="200">
        <f t="shared" si="4"/>
        <v>1</v>
      </c>
      <c r="L57" s="200">
        <f t="shared" si="5"/>
        <v>0</v>
      </c>
      <c r="P57" s="198">
        <v>50</v>
      </c>
      <c r="Q57" s="198">
        <v>3.8289999999999999E-3</v>
      </c>
      <c r="R57" s="198">
        <v>3.8219999999999999E-3</v>
      </c>
      <c r="S57" s="198">
        <v>95123.8</v>
      </c>
      <c r="T57" s="198">
        <v>363.5</v>
      </c>
      <c r="U57" s="198">
        <v>31.09</v>
      </c>
      <c r="V57" s="198"/>
      <c r="W57" s="198">
        <v>50</v>
      </c>
      <c r="X57" s="198">
        <v>2.3730000000000001E-3</v>
      </c>
      <c r="Y57" s="198">
        <v>2.3700000000000001E-3</v>
      </c>
      <c r="Z57" s="198">
        <v>97101</v>
      </c>
      <c r="AA57" s="198">
        <v>230.1</v>
      </c>
      <c r="AB57" s="198">
        <v>34.229999999999997</v>
      </c>
    </row>
    <row r="58" spans="2:28" x14ac:dyDescent="0.3">
      <c r="B58" s="149">
        <f t="shared" si="6"/>
        <v>46</v>
      </c>
      <c r="C58" s="149">
        <f t="shared" si="7"/>
        <v>106</v>
      </c>
      <c r="D58" s="201">
        <f t="shared" si="8"/>
        <v>0</v>
      </c>
      <c r="E58" s="149">
        <f t="shared" si="0"/>
        <v>0</v>
      </c>
      <c r="F58" s="200">
        <f t="shared" si="1"/>
        <v>1</v>
      </c>
      <c r="G58" s="149">
        <f t="shared" si="9"/>
        <v>106</v>
      </c>
      <c r="H58" s="201">
        <f t="shared" si="10"/>
        <v>0</v>
      </c>
      <c r="I58" s="149">
        <f t="shared" si="2"/>
        <v>0</v>
      </c>
      <c r="J58" s="200">
        <f t="shared" si="3"/>
        <v>1</v>
      </c>
      <c r="K58" s="200">
        <f t="shared" si="4"/>
        <v>1</v>
      </c>
      <c r="L58" s="200">
        <f t="shared" si="5"/>
        <v>0</v>
      </c>
      <c r="P58" s="198">
        <v>51</v>
      </c>
      <c r="Q58" s="198">
        <v>4.0619999999999996E-3</v>
      </c>
      <c r="R58" s="198">
        <v>4.0540000000000003E-3</v>
      </c>
      <c r="S58" s="198">
        <v>94760.2</v>
      </c>
      <c r="T58" s="198">
        <v>384.2</v>
      </c>
      <c r="U58" s="198">
        <v>30.2</v>
      </c>
      <c r="V58" s="198"/>
      <c r="W58" s="198">
        <v>51</v>
      </c>
      <c r="X58" s="198">
        <v>2.5370000000000002E-3</v>
      </c>
      <c r="Y58" s="198">
        <v>2.5339999999999998E-3</v>
      </c>
      <c r="Z58" s="198">
        <v>96870.9</v>
      </c>
      <c r="AA58" s="198">
        <v>245.4</v>
      </c>
      <c r="AB58" s="198">
        <v>33.31</v>
      </c>
    </row>
    <row r="59" spans="2:28" x14ac:dyDescent="0.3">
      <c r="B59" s="149">
        <f t="shared" si="6"/>
        <v>47</v>
      </c>
      <c r="C59" s="149">
        <f t="shared" si="7"/>
        <v>107</v>
      </c>
      <c r="D59" s="201">
        <f t="shared" si="8"/>
        <v>0</v>
      </c>
      <c r="E59" s="149">
        <f t="shared" si="0"/>
        <v>0</v>
      </c>
      <c r="F59" s="200">
        <f t="shared" si="1"/>
        <v>1</v>
      </c>
      <c r="G59" s="149">
        <f t="shared" si="9"/>
        <v>107</v>
      </c>
      <c r="H59" s="201">
        <f t="shared" si="10"/>
        <v>0</v>
      </c>
      <c r="I59" s="149">
        <f t="shared" si="2"/>
        <v>0</v>
      </c>
      <c r="J59" s="200">
        <f t="shared" si="3"/>
        <v>1</v>
      </c>
      <c r="K59" s="200">
        <f t="shared" si="4"/>
        <v>1</v>
      </c>
      <c r="L59" s="200">
        <f t="shared" si="5"/>
        <v>0</v>
      </c>
      <c r="P59" s="198">
        <v>52</v>
      </c>
      <c r="Q59" s="198">
        <v>4.496E-3</v>
      </c>
      <c r="R59" s="198">
        <v>4.4860000000000004E-3</v>
      </c>
      <c r="S59" s="198">
        <v>94376.1</v>
      </c>
      <c r="T59" s="198">
        <v>423.4</v>
      </c>
      <c r="U59" s="198">
        <v>29.32</v>
      </c>
      <c r="V59" s="198"/>
      <c r="W59" s="198">
        <v>52</v>
      </c>
      <c r="X59" s="198">
        <v>2.686E-3</v>
      </c>
      <c r="Y59" s="198">
        <v>2.6819999999999999E-3</v>
      </c>
      <c r="Z59" s="198">
        <v>96625.5</v>
      </c>
      <c r="AA59" s="198">
        <v>259.2</v>
      </c>
      <c r="AB59" s="198">
        <v>32.39</v>
      </c>
    </row>
    <row r="60" spans="2:28" x14ac:dyDescent="0.3">
      <c r="B60" s="149">
        <f t="shared" si="6"/>
        <v>48</v>
      </c>
      <c r="C60" s="149">
        <f t="shared" si="7"/>
        <v>108</v>
      </c>
      <c r="D60" s="201">
        <f t="shared" si="8"/>
        <v>0</v>
      </c>
      <c r="E60" s="149">
        <f t="shared" si="0"/>
        <v>0</v>
      </c>
      <c r="F60" s="200">
        <f t="shared" si="1"/>
        <v>1</v>
      </c>
      <c r="G60" s="149">
        <f t="shared" si="9"/>
        <v>108</v>
      </c>
      <c r="H60" s="201">
        <f t="shared" si="10"/>
        <v>0</v>
      </c>
      <c r="I60" s="149">
        <f t="shared" si="2"/>
        <v>0</v>
      </c>
      <c r="J60" s="200">
        <f t="shared" si="3"/>
        <v>1</v>
      </c>
      <c r="K60" s="200">
        <f t="shared" si="4"/>
        <v>1</v>
      </c>
      <c r="L60" s="200">
        <f t="shared" si="5"/>
        <v>0</v>
      </c>
      <c r="P60" s="198">
        <v>53</v>
      </c>
      <c r="Q60" s="198">
        <v>4.7029999999999997E-3</v>
      </c>
      <c r="R60" s="198">
        <v>4.692E-3</v>
      </c>
      <c r="S60" s="198">
        <v>93952.7</v>
      </c>
      <c r="T60" s="198">
        <v>440.8</v>
      </c>
      <c r="U60" s="198">
        <v>28.45</v>
      </c>
      <c r="V60" s="198"/>
      <c r="W60" s="198">
        <v>53</v>
      </c>
      <c r="X60" s="198">
        <v>2.9740000000000001E-3</v>
      </c>
      <c r="Y60" s="198">
        <v>2.97E-3</v>
      </c>
      <c r="Z60" s="198">
        <v>96366.3</v>
      </c>
      <c r="AA60" s="198">
        <v>286.2</v>
      </c>
      <c r="AB60" s="198">
        <v>31.48</v>
      </c>
    </row>
    <row r="61" spans="2:28" x14ac:dyDescent="0.3">
      <c r="B61" s="149">
        <f t="shared" si="6"/>
        <v>49</v>
      </c>
      <c r="C61" s="149">
        <f t="shared" si="7"/>
        <v>109</v>
      </c>
      <c r="D61" s="201">
        <f t="shared" si="8"/>
        <v>0</v>
      </c>
      <c r="E61" s="149">
        <f t="shared" si="0"/>
        <v>0</v>
      </c>
      <c r="F61" s="200">
        <f t="shared" si="1"/>
        <v>1</v>
      </c>
      <c r="G61" s="149">
        <f t="shared" si="9"/>
        <v>109</v>
      </c>
      <c r="H61" s="201">
        <f t="shared" si="10"/>
        <v>0</v>
      </c>
      <c r="I61" s="149">
        <f t="shared" si="2"/>
        <v>0</v>
      </c>
      <c r="J61" s="200">
        <f t="shared" si="3"/>
        <v>1</v>
      </c>
      <c r="K61" s="200">
        <f t="shared" si="4"/>
        <v>1</v>
      </c>
      <c r="L61" s="200">
        <f t="shared" si="5"/>
        <v>0</v>
      </c>
      <c r="P61" s="198">
        <v>54</v>
      </c>
      <c r="Q61" s="198">
        <v>5.1000000000000004E-3</v>
      </c>
      <c r="R61" s="198">
        <v>5.0870000000000004E-3</v>
      </c>
      <c r="S61" s="198">
        <v>93511.9</v>
      </c>
      <c r="T61" s="198">
        <v>475.7</v>
      </c>
      <c r="U61" s="198">
        <v>27.59</v>
      </c>
      <c r="V61" s="198"/>
      <c r="W61" s="198">
        <v>54</v>
      </c>
      <c r="X61" s="198">
        <v>3.176E-3</v>
      </c>
      <c r="Y61" s="198">
        <v>3.1710000000000002E-3</v>
      </c>
      <c r="Z61" s="198">
        <v>96080.1</v>
      </c>
      <c r="AA61" s="198">
        <v>304.7</v>
      </c>
      <c r="AB61" s="198">
        <v>30.57</v>
      </c>
    </row>
    <row r="62" spans="2:28" x14ac:dyDescent="0.3">
      <c r="B62" s="149">
        <f t="shared" si="6"/>
        <v>50</v>
      </c>
      <c r="C62" s="149">
        <f t="shared" si="7"/>
        <v>110</v>
      </c>
      <c r="D62" s="201">
        <f t="shared" si="8"/>
        <v>0</v>
      </c>
      <c r="E62" s="149">
        <f t="shared" si="0"/>
        <v>0</v>
      </c>
      <c r="F62" s="200">
        <f t="shared" si="1"/>
        <v>1</v>
      </c>
      <c r="G62" s="149">
        <f t="shared" si="9"/>
        <v>110</v>
      </c>
      <c r="H62" s="201">
        <f t="shared" si="10"/>
        <v>0</v>
      </c>
      <c r="I62" s="149">
        <f t="shared" si="2"/>
        <v>0</v>
      </c>
      <c r="J62" s="200">
        <f t="shared" si="3"/>
        <v>1</v>
      </c>
      <c r="K62" s="200">
        <f t="shared" si="4"/>
        <v>1</v>
      </c>
      <c r="L62" s="200">
        <f t="shared" si="5"/>
        <v>0</v>
      </c>
      <c r="P62" s="198">
        <v>55</v>
      </c>
      <c r="Q62" s="198">
        <v>5.4530000000000004E-3</v>
      </c>
      <c r="R62" s="198">
        <v>5.4380000000000001E-3</v>
      </c>
      <c r="S62" s="198">
        <v>93036.2</v>
      </c>
      <c r="T62" s="198">
        <v>505.9</v>
      </c>
      <c r="U62" s="198">
        <v>26.72</v>
      </c>
      <c r="V62" s="198"/>
      <c r="W62" s="198">
        <v>55</v>
      </c>
      <c r="X62" s="198">
        <v>3.4919999999999999E-3</v>
      </c>
      <c r="Y62" s="198">
        <v>3.4859999999999999E-3</v>
      </c>
      <c r="Z62" s="198">
        <v>95775.4</v>
      </c>
      <c r="AA62" s="198">
        <v>333.8</v>
      </c>
      <c r="AB62" s="198">
        <v>29.67</v>
      </c>
    </row>
    <row r="63" spans="2:28" x14ac:dyDescent="0.3">
      <c r="B63" s="149">
        <f t="shared" si="6"/>
        <v>51</v>
      </c>
      <c r="C63" s="149">
        <f t="shared" si="7"/>
        <v>111</v>
      </c>
      <c r="D63" s="201">
        <f t="shared" si="8"/>
        <v>0</v>
      </c>
      <c r="E63" s="149">
        <f t="shared" si="0"/>
        <v>0</v>
      </c>
      <c r="F63" s="200">
        <f t="shared" si="1"/>
        <v>1</v>
      </c>
      <c r="G63" s="149">
        <f t="shared" si="9"/>
        <v>111</v>
      </c>
      <c r="H63" s="201">
        <f t="shared" si="10"/>
        <v>0</v>
      </c>
      <c r="I63" s="149">
        <f t="shared" si="2"/>
        <v>0</v>
      </c>
      <c r="J63" s="200">
        <f t="shared" si="3"/>
        <v>1</v>
      </c>
      <c r="K63" s="200">
        <f t="shared" si="4"/>
        <v>1</v>
      </c>
      <c r="L63" s="200">
        <f t="shared" si="5"/>
        <v>0</v>
      </c>
      <c r="P63" s="198">
        <v>56</v>
      </c>
      <c r="Q63" s="198">
        <v>5.8849999999999996E-3</v>
      </c>
      <c r="R63" s="198">
        <v>5.8669999999999998E-3</v>
      </c>
      <c r="S63" s="198">
        <v>92530.2</v>
      </c>
      <c r="T63" s="198">
        <v>542.9</v>
      </c>
      <c r="U63" s="198">
        <v>25.87</v>
      </c>
      <c r="V63" s="198"/>
      <c r="W63" s="198">
        <v>56</v>
      </c>
      <c r="X63" s="198">
        <v>3.8170000000000001E-3</v>
      </c>
      <c r="Y63" s="198">
        <v>3.81E-3</v>
      </c>
      <c r="Z63" s="198">
        <v>95441.600000000006</v>
      </c>
      <c r="AA63" s="198">
        <v>363.6</v>
      </c>
      <c r="AB63" s="198">
        <v>28.77</v>
      </c>
    </row>
    <row r="64" spans="2:28" x14ac:dyDescent="0.3">
      <c r="B64" s="149">
        <f t="shared" si="6"/>
        <v>52</v>
      </c>
      <c r="C64" s="149">
        <f t="shared" si="7"/>
        <v>112</v>
      </c>
      <c r="D64" s="201">
        <f t="shared" si="8"/>
        <v>0</v>
      </c>
      <c r="E64" s="149">
        <f t="shared" si="0"/>
        <v>0</v>
      </c>
      <c r="F64" s="200">
        <f t="shared" si="1"/>
        <v>1</v>
      </c>
      <c r="G64" s="149">
        <f t="shared" si="9"/>
        <v>112</v>
      </c>
      <c r="H64" s="201">
        <f t="shared" si="10"/>
        <v>0</v>
      </c>
      <c r="I64" s="149">
        <f t="shared" si="2"/>
        <v>0</v>
      </c>
      <c r="J64" s="200">
        <f t="shared" si="3"/>
        <v>1</v>
      </c>
      <c r="K64" s="200">
        <f t="shared" si="4"/>
        <v>1</v>
      </c>
      <c r="L64" s="200">
        <f t="shared" si="5"/>
        <v>0</v>
      </c>
      <c r="P64" s="198">
        <v>57</v>
      </c>
      <c r="Q64" s="198">
        <v>6.43E-3</v>
      </c>
      <c r="R64" s="198">
        <v>6.4089999999999998E-3</v>
      </c>
      <c r="S64" s="198">
        <v>91987.3</v>
      </c>
      <c r="T64" s="198">
        <v>589.5</v>
      </c>
      <c r="U64" s="198">
        <v>25.02</v>
      </c>
      <c r="V64" s="198"/>
      <c r="W64" s="198">
        <v>57</v>
      </c>
      <c r="X64" s="198">
        <v>4.1510000000000002E-3</v>
      </c>
      <c r="Y64" s="198">
        <v>4.1419999999999998E-3</v>
      </c>
      <c r="Z64" s="198">
        <v>95078</v>
      </c>
      <c r="AA64" s="198">
        <v>393.8</v>
      </c>
      <c r="AB64" s="198">
        <v>27.88</v>
      </c>
    </row>
    <row r="65" spans="2:28" x14ac:dyDescent="0.3">
      <c r="B65" s="149">
        <f t="shared" si="6"/>
        <v>53</v>
      </c>
      <c r="C65" s="149">
        <f t="shared" si="7"/>
        <v>113</v>
      </c>
      <c r="D65" s="201">
        <f t="shared" si="8"/>
        <v>0</v>
      </c>
      <c r="E65" s="149">
        <f t="shared" si="0"/>
        <v>0</v>
      </c>
      <c r="F65" s="200">
        <f t="shared" si="1"/>
        <v>1</v>
      </c>
      <c r="G65" s="149">
        <f t="shared" si="9"/>
        <v>113</v>
      </c>
      <c r="H65" s="201">
        <f t="shared" si="10"/>
        <v>0</v>
      </c>
      <c r="I65" s="149">
        <f t="shared" si="2"/>
        <v>0</v>
      </c>
      <c r="J65" s="200">
        <f t="shared" si="3"/>
        <v>1</v>
      </c>
      <c r="K65" s="200">
        <f t="shared" si="4"/>
        <v>1</v>
      </c>
      <c r="L65" s="200">
        <f t="shared" si="5"/>
        <v>0</v>
      </c>
      <c r="P65" s="198">
        <v>58</v>
      </c>
      <c r="Q65" s="198">
        <v>6.8840000000000004E-3</v>
      </c>
      <c r="R65" s="198">
        <v>6.8599999999999998E-3</v>
      </c>
      <c r="S65" s="198">
        <v>91397.8</v>
      </c>
      <c r="T65" s="198">
        <v>627</v>
      </c>
      <c r="U65" s="198">
        <v>24.18</v>
      </c>
      <c r="V65" s="198"/>
      <c r="W65" s="198">
        <v>58</v>
      </c>
      <c r="X65" s="198">
        <v>4.4029999999999998E-3</v>
      </c>
      <c r="Y65" s="198">
        <v>4.3930000000000002E-3</v>
      </c>
      <c r="Z65" s="198">
        <v>94684.2</v>
      </c>
      <c r="AA65" s="198">
        <v>416</v>
      </c>
      <c r="AB65" s="198">
        <v>26.99</v>
      </c>
    </row>
    <row r="66" spans="2:28" x14ac:dyDescent="0.3">
      <c r="B66" s="149">
        <f t="shared" si="6"/>
        <v>54</v>
      </c>
      <c r="C66" s="149">
        <f t="shared" si="7"/>
        <v>114</v>
      </c>
      <c r="D66" s="201">
        <f t="shared" si="8"/>
        <v>0</v>
      </c>
      <c r="E66" s="149">
        <f t="shared" si="0"/>
        <v>0</v>
      </c>
      <c r="F66" s="200">
        <f t="shared" si="1"/>
        <v>1</v>
      </c>
      <c r="G66" s="149">
        <f t="shared" si="9"/>
        <v>114</v>
      </c>
      <c r="H66" s="201">
        <f t="shared" si="10"/>
        <v>0</v>
      </c>
      <c r="I66" s="149">
        <f t="shared" si="2"/>
        <v>0</v>
      </c>
      <c r="J66" s="200">
        <f t="shared" si="3"/>
        <v>1</v>
      </c>
      <c r="K66" s="200">
        <f t="shared" si="4"/>
        <v>1</v>
      </c>
      <c r="L66" s="200">
        <f t="shared" si="5"/>
        <v>0</v>
      </c>
      <c r="P66" s="198">
        <v>59</v>
      </c>
      <c r="Q66" s="198">
        <v>7.4139999999999996E-3</v>
      </c>
      <c r="R66" s="198">
        <v>7.3870000000000003E-3</v>
      </c>
      <c r="S66" s="198">
        <v>90770.8</v>
      </c>
      <c r="T66" s="198">
        <v>670.5</v>
      </c>
      <c r="U66" s="198">
        <v>23.34</v>
      </c>
      <c r="V66" s="198"/>
      <c r="W66" s="198">
        <v>59</v>
      </c>
      <c r="X66" s="198">
        <v>4.8110000000000002E-3</v>
      </c>
      <c r="Y66" s="198">
        <v>4.7999999999999996E-3</v>
      </c>
      <c r="Z66" s="198">
        <v>94268.2</v>
      </c>
      <c r="AA66" s="198">
        <v>452.5</v>
      </c>
      <c r="AB66" s="198">
        <v>26.11</v>
      </c>
    </row>
    <row r="67" spans="2:28" x14ac:dyDescent="0.3">
      <c r="B67" s="149">
        <f t="shared" si="6"/>
        <v>55</v>
      </c>
      <c r="C67" s="149">
        <f t="shared" si="7"/>
        <v>115</v>
      </c>
      <c r="D67" s="201">
        <f t="shared" si="8"/>
        <v>0</v>
      </c>
      <c r="E67" s="149">
        <f t="shared" si="0"/>
        <v>0</v>
      </c>
      <c r="F67" s="200">
        <f t="shared" si="1"/>
        <v>1</v>
      </c>
      <c r="G67" s="149">
        <f t="shared" si="9"/>
        <v>115</v>
      </c>
      <c r="H67" s="201">
        <f t="shared" si="10"/>
        <v>0</v>
      </c>
      <c r="I67" s="149">
        <f t="shared" si="2"/>
        <v>0</v>
      </c>
      <c r="J67" s="200">
        <f t="shared" si="3"/>
        <v>1</v>
      </c>
      <c r="K67" s="200">
        <f t="shared" si="4"/>
        <v>1</v>
      </c>
      <c r="L67" s="200">
        <f t="shared" si="5"/>
        <v>0</v>
      </c>
      <c r="P67" s="198">
        <v>60</v>
      </c>
      <c r="Q67" s="198">
        <v>8.1670000000000006E-3</v>
      </c>
      <c r="R67" s="198">
        <v>8.1340000000000006E-3</v>
      </c>
      <c r="S67" s="198">
        <v>90100.3</v>
      </c>
      <c r="T67" s="198">
        <v>732.9</v>
      </c>
      <c r="U67" s="198">
        <v>22.51</v>
      </c>
      <c r="V67" s="198"/>
      <c r="W67" s="198">
        <v>60</v>
      </c>
      <c r="X67" s="198">
        <v>5.2750000000000002E-3</v>
      </c>
      <c r="Y67" s="198">
        <v>5.2610000000000001E-3</v>
      </c>
      <c r="Z67" s="198">
        <v>93815.7</v>
      </c>
      <c r="AA67" s="198">
        <v>493.6</v>
      </c>
      <c r="AB67" s="198">
        <v>25.23</v>
      </c>
    </row>
    <row r="68" spans="2:28" x14ac:dyDescent="0.3">
      <c r="B68" s="149">
        <f t="shared" si="6"/>
        <v>56</v>
      </c>
      <c r="C68" s="149">
        <f t="shared" si="7"/>
        <v>116</v>
      </c>
      <c r="D68" s="201">
        <f t="shared" si="8"/>
        <v>0</v>
      </c>
      <c r="E68" s="149">
        <f t="shared" si="0"/>
        <v>0</v>
      </c>
      <c r="F68" s="200">
        <f t="shared" si="1"/>
        <v>1</v>
      </c>
      <c r="G68" s="149">
        <f t="shared" si="9"/>
        <v>116</v>
      </c>
      <c r="H68" s="201">
        <f t="shared" si="10"/>
        <v>0</v>
      </c>
      <c r="I68" s="149">
        <f t="shared" si="2"/>
        <v>0</v>
      </c>
      <c r="J68" s="200">
        <f t="shared" si="3"/>
        <v>1</v>
      </c>
      <c r="K68" s="200">
        <f t="shared" si="4"/>
        <v>1</v>
      </c>
      <c r="L68" s="200">
        <f t="shared" si="5"/>
        <v>0</v>
      </c>
      <c r="P68" s="198">
        <v>61</v>
      </c>
      <c r="Q68" s="198">
        <v>9.077E-3</v>
      </c>
      <c r="R68" s="198">
        <v>9.0360000000000006E-3</v>
      </c>
      <c r="S68" s="198">
        <v>89367.4</v>
      </c>
      <c r="T68" s="198">
        <v>807.5</v>
      </c>
      <c r="U68" s="198">
        <v>21.69</v>
      </c>
      <c r="V68" s="198"/>
      <c r="W68" s="198">
        <v>61</v>
      </c>
      <c r="X68" s="198">
        <v>5.6259999999999999E-3</v>
      </c>
      <c r="Y68" s="198">
        <v>5.6109999999999997E-3</v>
      </c>
      <c r="Z68" s="198">
        <v>93322.1</v>
      </c>
      <c r="AA68" s="198">
        <v>523.6</v>
      </c>
      <c r="AB68" s="198">
        <v>24.36</v>
      </c>
    </row>
    <row r="69" spans="2:28" x14ac:dyDescent="0.3">
      <c r="B69" s="149">
        <f t="shared" si="6"/>
        <v>57</v>
      </c>
      <c r="C69" s="149">
        <f t="shared" si="7"/>
        <v>117</v>
      </c>
      <c r="D69" s="201">
        <f t="shared" si="8"/>
        <v>0</v>
      </c>
      <c r="E69" s="149">
        <f t="shared" si="0"/>
        <v>0</v>
      </c>
      <c r="F69" s="200">
        <f t="shared" si="1"/>
        <v>1</v>
      </c>
      <c r="G69" s="149">
        <f t="shared" si="9"/>
        <v>117</v>
      </c>
      <c r="H69" s="201">
        <f t="shared" si="10"/>
        <v>0</v>
      </c>
      <c r="I69" s="149">
        <f t="shared" si="2"/>
        <v>0</v>
      </c>
      <c r="J69" s="200">
        <f t="shared" si="3"/>
        <v>1</v>
      </c>
      <c r="K69" s="200">
        <f t="shared" si="4"/>
        <v>1</v>
      </c>
      <c r="L69" s="200">
        <f t="shared" si="5"/>
        <v>0</v>
      </c>
      <c r="P69" s="198">
        <v>62</v>
      </c>
      <c r="Q69" s="198">
        <v>9.7619999999999998E-3</v>
      </c>
      <c r="R69" s="198">
        <v>9.7140000000000004E-3</v>
      </c>
      <c r="S69" s="198">
        <v>88559.9</v>
      </c>
      <c r="T69" s="198">
        <v>860.3</v>
      </c>
      <c r="U69" s="198">
        <v>20.88</v>
      </c>
      <c r="V69" s="198"/>
      <c r="W69" s="198">
        <v>62</v>
      </c>
      <c r="X69" s="198">
        <v>6.3489999999999996E-3</v>
      </c>
      <c r="Y69" s="198">
        <v>6.3290000000000004E-3</v>
      </c>
      <c r="Z69" s="198">
        <v>92798.5</v>
      </c>
      <c r="AA69" s="198">
        <v>587.29999999999995</v>
      </c>
      <c r="AB69" s="198">
        <v>23.5</v>
      </c>
    </row>
    <row r="70" spans="2:28" x14ac:dyDescent="0.3">
      <c r="B70" s="149">
        <f t="shared" si="6"/>
        <v>58</v>
      </c>
      <c r="C70" s="149">
        <f t="shared" si="7"/>
        <v>118</v>
      </c>
      <c r="D70" s="201">
        <f t="shared" si="8"/>
        <v>0</v>
      </c>
      <c r="E70" s="149">
        <f t="shared" si="0"/>
        <v>0</v>
      </c>
      <c r="F70" s="200">
        <f t="shared" si="1"/>
        <v>1</v>
      </c>
      <c r="G70" s="149">
        <f t="shared" si="9"/>
        <v>118</v>
      </c>
      <c r="H70" s="201">
        <f t="shared" si="10"/>
        <v>0</v>
      </c>
      <c r="I70" s="149">
        <f t="shared" si="2"/>
        <v>0</v>
      </c>
      <c r="J70" s="200">
        <f t="shared" si="3"/>
        <v>1</v>
      </c>
      <c r="K70" s="200">
        <f t="shared" si="4"/>
        <v>1</v>
      </c>
      <c r="L70" s="200">
        <f t="shared" si="5"/>
        <v>0</v>
      </c>
      <c r="P70" s="198">
        <v>63</v>
      </c>
      <c r="Q70" s="198">
        <v>1.0591E-2</v>
      </c>
      <c r="R70" s="198">
        <v>1.0534999999999999E-2</v>
      </c>
      <c r="S70" s="198">
        <v>87699.6</v>
      </c>
      <c r="T70" s="198">
        <v>923.9</v>
      </c>
      <c r="U70" s="198">
        <v>20.079999999999998</v>
      </c>
      <c r="V70" s="198"/>
      <c r="W70" s="198">
        <v>63</v>
      </c>
      <c r="X70" s="198">
        <v>7.0130000000000001E-3</v>
      </c>
      <c r="Y70" s="198">
        <v>6.9880000000000003E-3</v>
      </c>
      <c r="Z70" s="198">
        <v>92211.199999999997</v>
      </c>
      <c r="AA70" s="198">
        <v>644.4</v>
      </c>
      <c r="AB70" s="198">
        <v>22.64</v>
      </c>
    </row>
    <row r="71" spans="2:28" x14ac:dyDescent="0.3">
      <c r="B71" s="149">
        <f t="shared" si="6"/>
        <v>59</v>
      </c>
      <c r="C71" s="149">
        <f t="shared" si="7"/>
        <v>119</v>
      </c>
      <c r="D71" s="201">
        <f t="shared" si="8"/>
        <v>0</v>
      </c>
      <c r="E71" s="149">
        <f t="shared" si="0"/>
        <v>0</v>
      </c>
      <c r="F71" s="200">
        <f t="shared" si="1"/>
        <v>1</v>
      </c>
      <c r="G71" s="149">
        <f t="shared" si="9"/>
        <v>119</v>
      </c>
      <c r="H71" s="201">
        <f t="shared" si="10"/>
        <v>0</v>
      </c>
      <c r="I71" s="149">
        <f t="shared" si="2"/>
        <v>0</v>
      </c>
      <c r="J71" s="200">
        <f t="shared" si="3"/>
        <v>1</v>
      </c>
      <c r="K71" s="200">
        <f t="shared" si="4"/>
        <v>1</v>
      </c>
      <c r="L71" s="200">
        <f t="shared" si="5"/>
        <v>0</v>
      </c>
      <c r="P71" s="198">
        <v>64</v>
      </c>
      <c r="Q71" s="198">
        <v>1.1667E-2</v>
      </c>
      <c r="R71" s="198">
        <v>1.1599999999999999E-2</v>
      </c>
      <c r="S71" s="198">
        <v>86775.7</v>
      </c>
      <c r="T71" s="198">
        <v>1006.6</v>
      </c>
      <c r="U71" s="198">
        <v>19.29</v>
      </c>
      <c r="V71" s="198"/>
      <c r="W71" s="198">
        <v>64</v>
      </c>
      <c r="X71" s="198">
        <v>7.6839999999999999E-3</v>
      </c>
      <c r="Y71" s="198">
        <v>7.6540000000000002E-3</v>
      </c>
      <c r="Z71" s="198">
        <v>91566.8</v>
      </c>
      <c r="AA71" s="198">
        <v>700.9</v>
      </c>
      <c r="AB71" s="198">
        <v>21.8</v>
      </c>
    </row>
    <row r="72" spans="2:28" x14ac:dyDescent="0.3">
      <c r="B72" s="149">
        <f t="shared" si="6"/>
        <v>60</v>
      </c>
      <c r="C72" s="149">
        <f t="shared" si="7"/>
        <v>120</v>
      </c>
      <c r="D72" s="201">
        <f t="shared" si="8"/>
        <v>0</v>
      </c>
      <c r="E72" s="149">
        <f t="shared" si="0"/>
        <v>0</v>
      </c>
      <c r="F72" s="200">
        <f t="shared" si="1"/>
        <v>1</v>
      </c>
      <c r="G72" s="149">
        <f t="shared" si="9"/>
        <v>120</v>
      </c>
      <c r="H72" s="201">
        <f t="shared" si="10"/>
        <v>0</v>
      </c>
      <c r="I72" s="149">
        <f t="shared" si="2"/>
        <v>0</v>
      </c>
      <c r="J72" s="200">
        <f t="shared" si="3"/>
        <v>1</v>
      </c>
      <c r="K72" s="200">
        <f t="shared" si="4"/>
        <v>1</v>
      </c>
      <c r="L72" s="200">
        <f t="shared" si="5"/>
        <v>0</v>
      </c>
      <c r="P72" s="198">
        <v>65</v>
      </c>
      <c r="Q72" s="198">
        <v>1.2625000000000001E-2</v>
      </c>
      <c r="R72" s="198">
        <v>1.2545000000000001E-2</v>
      </c>
      <c r="S72" s="198">
        <v>85769.1</v>
      </c>
      <c r="T72" s="198">
        <v>1076</v>
      </c>
      <c r="U72" s="198">
        <v>18.510000000000002</v>
      </c>
      <c r="V72" s="198"/>
      <c r="W72" s="198">
        <v>65</v>
      </c>
      <c r="X72" s="198">
        <v>8.2979999999999998E-3</v>
      </c>
      <c r="Y72" s="198">
        <v>8.2640000000000005E-3</v>
      </c>
      <c r="Z72" s="198">
        <v>90866</v>
      </c>
      <c r="AA72" s="198">
        <v>750.9</v>
      </c>
      <c r="AB72" s="198">
        <v>20.96</v>
      </c>
    </row>
    <row r="73" spans="2:28" x14ac:dyDescent="0.3">
      <c r="B73" s="149">
        <f t="shared" si="6"/>
        <v>61</v>
      </c>
      <c r="C73" s="149">
        <f t="shared" si="7"/>
        <v>121</v>
      </c>
      <c r="D73" s="201">
        <f t="shared" si="8"/>
        <v>0</v>
      </c>
      <c r="E73" s="149">
        <f t="shared" si="0"/>
        <v>0</v>
      </c>
      <c r="F73" s="200">
        <f t="shared" si="1"/>
        <v>1</v>
      </c>
      <c r="G73" s="149">
        <f t="shared" si="9"/>
        <v>121</v>
      </c>
      <c r="H73" s="201">
        <f t="shared" si="10"/>
        <v>0</v>
      </c>
      <c r="I73" s="149">
        <f t="shared" si="2"/>
        <v>0</v>
      </c>
      <c r="J73" s="200">
        <f t="shared" si="3"/>
        <v>1</v>
      </c>
      <c r="K73" s="200">
        <f t="shared" si="4"/>
        <v>1</v>
      </c>
      <c r="L73" s="200">
        <f t="shared" si="5"/>
        <v>0</v>
      </c>
      <c r="P73" s="198">
        <v>66</v>
      </c>
      <c r="Q73" s="198">
        <v>1.3983000000000001E-2</v>
      </c>
      <c r="R73" s="198">
        <v>1.3886000000000001E-2</v>
      </c>
      <c r="S73" s="198">
        <v>84693.1</v>
      </c>
      <c r="T73" s="198">
        <v>1176.0999999999999</v>
      </c>
      <c r="U73" s="198">
        <v>17.739999999999998</v>
      </c>
      <c r="V73" s="198"/>
      <c r="W73" s="198">
        <v>66</v>
      </c>
      <c r="X73" s="198">
        <v>9.2759999999999995E-3</v>
      </c>
      <c r="Y73" s="198">
        <v>9.2329999999999999E-3</v>
      </c>
      <c r="Z73" s="198">
        <v>90115.1</v>
      </c>
      <c r="AA73" s="198">
        <v>832</v>
      </c>
      <c r="AB73" s="198">
        <v>20.13</v>
      </c>
    </row>
    <row r="74" spans="2:28" x14ac:dyDescent="0.3">
      <c r="B74" s="149">
        <f t="shared" si="6"/>
        <v>62</v>
      </c>
      <c r="C74" s="149">
        <f t="shared" si="7"/>
        <v>122</v>
      </c>
      <c r="D74" s="201">
        <f t="shared" si="8"/>
        <v>0</v>
      </c>
      <c r="E74" s="149">
        <f t="shared" si="0"/>
        <v>0</v>
      </c>
      <c r="F74" s="200">
        <f t="shared" si="1"/>
        <v>1</v>
      </c>
      <c r="G74" s="149">
        <f t="shared" si="9"/>
        <v>122</v>
      </c>
      <c r="H74" s="201">
        <f t="shared" si="10"/>
        <v>0</v>
      </c>
      <c r="I74" s="149">
        <f t="shared" si="2"/>
        <v>0</v>
      </c>
      <c r="J74" s="200">
        <f t="shared" si="3"/>
        <v>1</v>
      </c>
      <c r="K74" s="200">
        <f t="shared" si="4"/>
        <v>1</v>
      </c>
      <c r="L74" s="200">
        <f t="shared" si="5"/>
        <v>0</v>
      </c>
      <c r="P74" s="198">
        <v>67</v>
      </c>
      <c r="Q74" s="198">
        <v>1.5532000000000001E-2</v>
      </c>
      <c r="R74" s="198">
        <v>1.5413E-2</v>
      </c>
      <c r="S74" s="198">
        <v>83517</v>
      </c>
      <c r="T74" s="198">
        <v>1287.2</v>
      </c>
      <c r="U74" s="198">
        <v>16.98</v>
      </c>
      <c r="V74" s="198"/>
      <c r="W74" s="198">
        <v>67</v>
      </c>
      <c r="X74" s="198">
        <v>1.0128E-2</v>
      </c>
      <c r="Y74" s="198">
        <v>1.0076999999999999E-2</v>
      </c>
      <c r="Z74" s="198">
        <v>89283</v>
      </c>
      <c r="AA74" s="198">
        <v>899.7</v>
      </c>
      <c r="AB74" s="198">
        <v>19.32</v>
      </c>
    </row>
    <row r="75" spans="2:28" x14ac:dyDescent="0.3">
      <c r="B75" s="149">
        <f t="shared" si="6"/>
        <v>63</v>
      </c>
      <c r="C75" s="149">
        <f t="shared" si="7"/>
        <v>123</v>
      </c>
      <c r="D75" s="201">
        <f t="shared" si="8"/>
        <v>0</v>
      </c>
      <c r="E75" s="149">
        <f t="shared" si="0"/>
        <v>0</v>
      </c>
      <c r="F75" s="200">
        <f t="shared" si="1"/>
        <v>1</v>
      </c>
      <c r="G75" s="149">
        <f t="shared" si="9"/>
        <v>123</v>
      </c>
      <c r="H75" s="201">
        <f t="shared" si="10"/>
        <v>0</v>
      </c>
      <c r="I75" s="149">
        <f t="shared" si="2"/>
        <v>0</v>
      </c>
      <c r="J75" s="200">
        <f t="shared" si="3"/>
        <v>1</v>
      </c>
      <c r="K75" s="200">
        <f t="shared" si="4"/>
        <v>1</v>
      </c>
      <c r="L75" s="200">
        <f t="shared" si="5"/>
        <v>0</v>
      </c>
      <c r="P75" s="198">
        <v>68</v>
      </c>
      <c r="Q75" s="198">
        <v>1.7025999999999999E-2</v>
      </c>
      <c r="R75" s="198">
        <v>1.6882000000000001E-2</v>
      </c>
      <c r="S75" s="198">
        <v>82229.8</v>
      </c>
      <c r="T75" s="198">
        <v>1388.2</v>
      </c>
      <c r="U75" s="198">
        <v>16.239999999999998</v>
      </c>
      <c r="V75" s="198"/>
      <c r="W75" s="198">
        <v>68</v>
      </c>
      <c r="X75" s="198">
        <v>1.1141E-2</v>
      </c>
      <c r="Y75" s="198">
        <v>1.1079E-2</v>
      </c>
      <c r="Z75" s="198">
        <v>88383.3</v>
      </c>
      <c r="AA75" s="198">
        <v>979.2</v>
      </c>
      <c r="AB75" s="198">
        <v>18.510000000000002</v>
      </c>
    </row>
    <row r="76" spans="2:28" x14ac:dyDescent="0.3">
      <c r="B76" s="149">
        <f t="shared" si="6"/>
        <v>64</v>
      </c>
      <c r="C76" s="149">
        <f t="shared" si="7"/>
        <v>124</v>
      </c>
      <c r="D76" s="201">
        <f t="shared" si="8"/>
        <v>0</v>
      </c>
      <c r="E76" s="149">
        <f t="shared" si="0"/>
        <v>0</v>
      </c>
      <c r="F76" s="200">
        <f t="shared" si="1"/>
        <v>1</v>
      </c>
      <c r="G76" s="149">
        <f t="shared" si="9"/>
        <v>124</v>
      </c>
      <c r="H76" s="201">
        <f t="shared" si="10"/>
        <v>0</v>
      </c>
      <c r="I76" s="149">
        <f t="shared" si="2"/>
        <v>0</v>
      </c>
      <c r="J76" s="200">
        <f t="shared" si="3"/>
        <v>1</v>
      </c>
      <c r="K76" s="200">
        <f t="shared" si="4"/>
        <v>1</v>
      </c>
      <c r="L76" s="200">
        <f t="shared" si="5"/>
        <v>0</v>
      </c>
      <c r="P76" s="198">
        <v>69</v>
      </c>
      <c r="Q76" s="198">
        <v>1.8353000000000001E-2</v>
      </c>
      <c r="R76" s="198">
        <v>1.8186000000000001E-2</v>
      </c>
      <c r="S76" s="198">
        <v>80841.600000000006</v>
      </c>
      <c r="T76" s="198">
        <v>1470.2</v>
      </c>
      <c r="U76" s="198">
        <v>15.51</v>
      </c>
      <c r="V76" s="198"/>
      <c r="W76" s="198">
        <v>69</v>
      </c>
      <c r="X76" s="198">
        <v>1.2055E-2</v>
      </c>
      <c r="Y76" s="198">
        <v>1.1983000000000001E-2</v>
      </c>
      <c r="Z76" s="198">
        <v>87404.1</v>
      </c>
      <c r="AA76" s="198">
        <v>1047.3</v>
      </c>
      <c r="AB76" s="198">
        <v>17.71</v>
      </c>
    </row>
    <row r="77" spans="2:28" x14ac:dyDescent="0.3">
      <c r="B77" s="149">
        <f t="shared" si="6"/>
        <v>65</v>
      </c>
      <c r="C77" s="149">
        <f t="shared" si="7"/>
        <v>125</v>
      </c>
      <c r="D77" s="201">
        <f t="shared" si="8"/>
        <v>0</v>
      </c>
      <c r="E77" s="149">
        <f t="shared" ref="E77:E109" si="11">IFERROR(VLOOKUP(C77,P:AB,4+7*(D$4="F"),0),0)</f>
        <v>0</v>
      </c>
      <c r="F77" s="200">
        <f t="shared" ref="F77:F109" si="12">1-D77</f>
        <v>1</v>
      </c>
      <c r="G77" s="149">
        <f t="shared" si="9"/>
        <v>125</v>
      </c>
      <c r="H77" s="201">
        <f t="shared" si="10"/>
        <v>0</v>
      </c>
      <c r="I77" s="149">
        <f t="shared" ref="I77:I109" si="13">IFERROR(VLOOKUP(G77,P:AB,4+7*(H$4="F"),0),0)</f>
        <v>0</v>
      </c>
      <c r="J77" s="200">
        <f t="shared" ref="J77:J109" si="14">1-H77</f>
        <v>1</v>
      </c>
      <c r="K77" s="200">
        <f t="shared" ref="K77:K109" si="15">F77*J77</f>
        <v>1</v>
      </c>
      <c r="L77" s="200">
        <f t="shared" ref="L77:L109" si="16">1-K77</f>
        <v>0</v>
      </c>
      <c r="P77" s="198">
        <v>70</v>
      </c>
      <c r="Q77" s="198">
        <v>2.0152E-2</v>
      </c>
      <c r="R77" s="198">
        <v>1.9951E-2</v>
      </c>
      <c r="S77" s="198">
        <v>79371.399999999994</v>
      </c>
      <c r="T77" s="198">
        <v>1583.6</v>
      </c>
      <c r="U77" s="198">
        <v>14.79</v>
      </c>
      <c r="V77" s="198"/>
      <c r="W77" s="198">
        <v>70</v>
      </c>
      <c r="X77" s="198">
        <v>1.3367E-2</v>
      </c>
      <c r="Y77" s="198">
        <v>1.3278E-2</v>
      </c>
      <c r="Z77" s="198">
        <v>86356.800000000003</v>
      </c>
      <c r="AA77" s="198">
        <v>1146.7</v>
      </c>
      <c r="AB77" s="198">
        <v>16.920000000000002</v>
      </c>
    </row>
    <row r="78" spans="2:28" x14ac:dyDescent="0.3">
      <c r="B78" s="149">
        <f t="shared" ref="B78:B109" si="17">B77+1</f>
        <v>66</v>
      </c>
      <c r="C78" s="149">
        <f t="shared" ref="C78:C109" si="18">C77+1</f>
        <v>126</v>
      </c>
      <c r="D78" s="201">
        <f t="shared" ref="D78:D109" si="19">IFERROR(D77*E78/E77,0)</f>
        <v>0</v>
      </c>
      <c r="E78" s="149">
        <f t="shared" si="11"/>
        <v>0</v>
      </c>
      <c r="F78" s="200">
        <f t="shared" si="12"/>
        <v>1</v>
      </c>
      <c r="G78" s="149">
        <f t="shared" ref="G78:G109" si="20">G77+1</f>
        <v>126</v>
      </c>
      <c r="H78" s="201">
        <f t="shared" ref="H78:H109" si="21">IFERROR(H77*I78/I77,0)</f>
        <v>0</v>
      </c>
      <c r="I78" s="149">
        <f t="shared" si="13"/>
        <v>0</v>
      </c>
      <c r="J78" s="200">
        <f t="shared" si="14"/>
        <v>1</v>
      </c>
      <c r="K78" s="200">
        <f t="shared" si="15"/>
        <v>1</v>
      </c>
      <c r="L78" s="200">
        <f t="shared" si="16"/>
        <v>0</v>
      </c>
      <c r="P78" s="198">
        <v>71</v>
      </c>
      <c r="Q78" s="198">
        <v>2.2173999999999999E-2</v>
      </c>
      <c r="R78" s="198">
        <v>2.1930999999999999E-2</v>
      </c>
      <c r="S78" s="198">
        <v>77787.8</v>
      </c>
      <c r="T78" s="198">
        <v>1706</v>
      </c>
      <c r="U78" s="198">
        <v>14.08</v>
      </c>
      <c r="V78" s="198"/>
      <c r="W78" s="198">
        <v>71</v>
      </c>
      <c r="X78" s="198">
        <v>1.4397999999999999E-2</v>
      </c>
      <c r="Y78" s="198">
        <v>1.4295E-2</v>
      </c>
      <c r="Z78" s="198">
        <v>85210.1</v>
      </c>
      <c r="AA78" s="198">
        <v>1218.0999999999999</v>
      </c>
      <c r="AB78" s="198">
        <v>16.14</v>
      </c>
    </row>
    <row r="79" spans="2:28" x14ac:dyDescent="0.3">
      <c r="B79" s="149">
        <f t="shared" si="17"/>
        <v>67</v>
      </c>
      <c r="C79" s="149">
        <f t="shared" si="18"/>
        <v>127</v>
      </c>
      <c r="D79" s="201">
        <f t="shared" si="19"/>
        <v>0</v>
      </c>
      <c r="E79" s="149">
        <f t="shared" si="11"/>
        <v>0</v>
      </c>
      <c r="F79" s="200">
        <f t="shared" si="12"/>
        <v>1</v>
      </c>
      <c r="G79" s="149">
        <f t="shared" si="20"/>
        <v>127</v>
      </c>
      <c r="H79" s="201">
        <f t="shared" si="21"/>
        <v>0</v>
      </c>
      <c r="I79" s="149">
        <f t="shared" si="13"/>
        <v>0</v>
      </c>
      <c r="J79" s="200">
        <f t="shared" si="14"/>
        <v>1</v>
      </c>
      <c r="K79" s="200">
        <f t="shared" si="15"/>
        <v>1</v>
      </c>
      <c r="L79" s="200">
        <f t="shared" si="16"/>
        <v>0</v>
      </c>
      <c r="P79" s="198">
        <v>72</v>
      </c>
      <c r="Q79" s="198">
        <v>2.4317999999999999E-2</v>
      </c>
      <c r="R79" s="198">
        <v>2.4025999999999999E-2</v>
      </c>
      <c r="S79" s="198">
        <v>76081.899999999994</v>
      </c>
      <c r="T79" s="198">
        <v>1828</v>
      </c>
      <c r="U79" s="198">
        <v>13.39</v>
      </c>
      <c r="V79" s="198"/>
      <c r="W79" s="198">
        <v>72</v>
      </c>
      <c r="X79" s="198">
        <v>1.5879999999999998E-2</v>
      </c>
      <c r="Y79" s="198">
        <v>1.5755000000000002E-2</v>
      </c>
      <c r="Z79" s="198">
        <v>83992</v>
      </c>
      <c r="AA79" s="198">
        <v>1323.3</v>
      </c>
      <c r="AB79" s="198">
        <v>15.36</v>
      </c>
    </row>
    <row r="80" spans="2:28" x14ac:dyDescent="0.3">
      <c r="B80" s="149">
        <f t="shared" si="17"/>
        <v>68</v>
      </c>
      <c r="C80" s="149">
        <f t="shared" si="18"/>
        <v>128</v>
      </c>
      <c r="D80" s="201">
        <f t="shared" si="19"/>
        <v>0</v>
      </c>
      <c r="E80" s="149">
        <f t="shared" si="11"/>
        <v>0</v>
      </c>
      <c r="F80" s="200">
        <f t="shared" si="12"/>
        <v>1</v>
      </c>
      <c r="G80" s="149">
        <f t="shared" si="20"/>
        <v>128</v>
      </c>
      <c r="H80" s="201">
        <f t="shared" si="21"/>
        <v>0</v>
      </c>
      <c r="I80" s="149">
        <f t="shared" si="13"/>
        <v>0</v>
      </c>
      <c r="J80" s="200">
        <f t="shared" si="14"/>
        <v>1</v>
      </c>
      <c r="K80" s="200">
        <f t="shared" si="15"/>
        <v>1</v>
      </c>
      <c r="L80" s="200">
        <f t="shared" si="16"/>
        <v>0</v>
      </c>
      <c r="P80" s="198">
        <v>73</v>
      </c>
      <c r="Q80" s="198">
        <v>2.6197000000000002E-2</v>
      </c>
      <c r="R80" s="198">
        <v>2.5857999999999999E-2</v>
      </c>
      <c r="S80" s="198">
        <v>74253.899999999994</v>
      </c>
      <c r="T80" s="198">
        <v>1920</v>
      </c>
      <c r="U80" s="198">
        <v>12.7</v>
      </c>
      <c r="V80" s="198"/>
      <c r="W80" s="198">
        <v>73</v>
      </c>
      <c r="X80" s="198">
        <v>1.7527000000000001E-2</v>
      </c>
      <c r="Y80" s="198">
        <v>1.7375000000000002E-2</v>
      </c>
      <c r="Z80" s="198">
        <v>82668.7</v>
      </c>
      <c r="AA80" s="198">
        <v>1436.3</v>
      </c>
      <c r="AB80" s="198">
        <v>14.6</v>
      </c>
    </row>
    <row r="81" spans="2:28" x14ac:dyDescent="0.3">
      <c r="B81" s="149">
        <f t="shared" si="17"/>
        <v>69</v>
      </c>
      <c r="C81" s="149">
        <f t="shared" si="18"/>
        <v>129</v>
      </c>
      <c r="D81" s="201">
        <f t="shared" si="19"/>
        <v>0</v>
      </c>
      <c r="E81" s="149">
        <f t="shared" si="11"/>
        <v>0</v>
      </c>
      <c r="F81" s="200">
        <f t="shared" si="12"/>
        <v>1</v>
      </c>
      <c r="G81" s="149">
        <f t="shared" si="20"/>
        <v>129</v>
      </c>
      <c r="H81" s="201">
        <f t="shared" si="21"/>
        <v>0</v>
      </c>
      <c r="I81" s="149">
        <f t="shared" si="13"/>
        <v>0</v>
      </c>
      <c r="J81" s="200">
        <f t="shared" si="14"/>
        <v>1</v>
      </c>
      <c r="K81" s="200">
        <f t="shared" si="15"/>
        <v>1</v>
      </c>
      <c r="L81" s="200">
        <f t="shared" si="16"/>
        <v>0</v>
      </c>
      <c r="P81" s="198">
        <v>74</v>
      </c>
      <c r="Q81" s="198">
        <v>2.8445999999999999E-2</v>
      </c>
      <c r="R81" s="198">
        <v>2.8046999999999999E-2</v>
      </c>
      <c r="S81" s="198">
        <v>72333.899999999994</v>
      </c>
      <c r="T81" s="198">
        <v>2028.7</v>
      </c>
      <c r="U81" s="198">
        <v>12.03</v>
      </c>
      <c r="V81" s="198"/>
      <c r="W81" s="198">
        <v>74</v>
      </c>
      <c r="X81" s="198">
        <v>1.9302E-2</v>
      </c>
      <c r="Y81" s="198">
        <v>1.9116999999999999E-2</v>
      </c>
      <c r="Z81" s="198">
        <v>81232.399999999994</v>
      </c>
      <c r="AA81" s="198">
        <v>1553</v>
      </c>
      <c r="AB81" s="198">
        <v>13.85</v>
      </c>
    </row>
    <row r="82" spans="2:28" x14ac:dyDescent="0.3">
      <c r="B82" s="149">
        <f t="shared" si="17"/>
        <v>70</v>
      </c>
      <c r="C82" s="149">
        <f t="shared" si="18"/>
        <v>130</v>
      </c>
      <c r="D82" s="201">
        <f t="shared" si="19"/>
        <v>0</v>
      </c>
      <c r="E82" s="149">
        <f t="shared" si="11"/>
        <v>0</v>
      </c>
      <c r="F82" s="200">
        <f t="shared" si="12"/>
        <v>1</v>
      </c>
      <c r="G82" s="149">
        <f t="shared" si="20"/>
        <v>130</v>
      </c>
      <c r="H82" s="201">
        <f t="shared" si="21"/>
        <v>0</v>
      </c>
      <c r="I82" s="149">
        <f t="shared" si="13"/>
        <v>0</v>
      </c>
      <c r="J82" s="200">
        <f t="shared" si="14"/>
        <v>1</v>
      </c>
      <c r="K82" s="200">
        <f t="shared" si="15"/>
        <v>1</v>
      </c>
      <c r="L82" s="200">
        <f t="shared" si="16"/>
        <v>0</v>
      </c>
      <c r="P82" s="198">
        <v>75</v>
      </c>
      <c r="Q82" s="198">
        <v>3.1738000000000002E-2</v>
      </c>
      <c r="R82" s="198">
        <v>3.1241999999999999E-2</v>
      </c>
      <c r="S82" s="198">
        <v>70305.100000000006</v>
      </c>
      <c r="T82" s="198">
        <v>2196.5</v>
      </c>
      <c r="U82" s="198">
        <v>11.36</v>
      </c>
      <c r="V82" s="198"/>
      <c r="W82" s="198">
        <v>75</v>
      </c>
      <c r="X82" s="198">
        <v>2.1812999999999999E-2</v>
      </c>
      <c r="Y82" s="198">
        <v>2.1578E-2</v>
      </c>
      <c r="Z82" s="198">
        <v>79679.399999999994</v>
      </c>
      <c r="AA82" s="198">
        <v>1719.3</v>
      </c>
      <c r="AB82" s="198">
        <v>13.11</v>
      </c>
    </row>
    <row r="83" spans="2:28" x14ac:dyDescent="0.3">
      <c r="B83" s="149">
        <f t="shared" si="17"/>
        <v>71</v>
      </c>
      <c r="C83" s="149">
        <f t="shared" si="18"/>
        <v>131</v>
      </c>
      <c r="D83" s="201">
        <f t="shared" si="19"/>
        <v>0</v>
      </c>
      <c r="E83" s="149">
        <f t="shared" si="11"/>
        <v>0</v>
      </c>
      <c r="F83" s="200">
        <f t="shared" si="12"/>
        <v>1</v>
      </c>
      <c r="G83" s="149">
        <f t="shared" si="20"/>
        <v>131</v>
      </c>
      <c r="H83" s="201">
        <f t="shared" si="21"/>
        <v>0</v>
      </c>
      <c r="I83" s="149">
        <f t="shared" si="13"/>
        <v>0</v>
      </c>
      <c r="J83" s="200">
        <f t="shared" si="14"/>
        <v>1</v>
      </c>
      <c r="K83" s="200">
        <f t="shared" si="15"/>
        <v>1</v>
      </c>
      <c r="L83" s="200">
        <f t="shared" si="16"/>
        <v>0</v>
      </c>
      <c r="P83" s="198">
        <v>76</v>
      </c>
      <c r="Q83" s="198">
        <v>3.5688999999999999E-2</v>
      </c>
      <c r="R83" s="198">
        <v>3.5062999999999997E-2</v>
      </c>
      <c r="S83" s="198">
        <v>68108.600000000006</v>
      </c>
      <c r="T83" s="198">
        <v>2388.1</v>
      </c>
      <c r="U83" s="198">
        <v>10.71</v>
      </c>
      <c r="V83" s="198"/>
      <c r="W83" s="198">
        <v>76</v>
      </c>
      <c r="X83" s="198">
        <v>2.4220999999999999E-2</v>
      </c>
      <c r="Y83" s="198">
        <v>2.3931000000000001E-2</v>
      </c>
      <c r="Z83" s="198">
        <v>77960.100000000006</v>
      </c>
      <c r="AA83" s="198">
        <v>1865.7</v>
      </c>
      <c r="AB83" s="198">
        <v>12.39</v>
      </c>
    </row>
    <row r="84" spans="2:28" x14ac:dyDescent="0.3">
      <c r="B84" s="149">
        <f t="shared" si="17"/>
        <v>72</v>
      </c>
      <c r="C84" s="149">
        <f t="shared" si="18"/>
        <v>132</v>
      </c>
      <c r="D84" s="201">
        <f t="shared" si="19"/>
        <v>0</v>
      </c>
      <c r="E84" s="149">
        <f t="shared" si="11"/>
        <v>0</v>
      </c>
      <c r="F84" s="200">
        <f t="shared" si="12"/>
        <v>1</v>
      </c>
      <c r="G84" s="149">
        <f t="shared" si="20"/>
        <v>132</v>
      </c>
      <c r="H84" s="201">
        <f t="shared" si="21"/>
        <v>0</v>
      </c>
      <c r="I84" s="149">
        <f t="shared" si="13"/>
        <v>0</v>
      </c>
      <c r="J84" s="200">
        <f t="shared" si="14"/>
        <v>1</v>
      </c>
      <c r="K84" s="200">
        <f t="shared" si="15"/>
        <v>1</v>
      </c>
      <c r="L84" s="200">
        <f t="shared" si="16"/>
        <v>0</v>
      </c>
      <c r="P84" s="198">
        <v>77</v>
      </c>
      <c r="Q84" s="198">
        <v>3.9662000000000003E-2</v>
      </c>
      <c r="R84" s="198">
        <v>3.8891000000000002E-2</v>
      </c>
      <c r="S84" s="198">
        <v>65720.600000000006</v>
      </c>
      <c r="T84" s="198">
        <v>2555.9</v>
      </c>
      <c r="U84" s="198">
        <v>10.08</v>
      </c>
      <c r="V84" s="198"/>
      <c r="W84" s="198">
        <v>77</v>
      </c>
      <c r="X84" s="198">
        <v>2.7726000000000001E-2</v>
      </c>
      <c r="Y84" s="198">
        <v>2.7347E-2</v>
      </c>
      <c r="Z84" s="198">
        <v>76094.399999999994</v>
      </c>
      <c r="AA84" s="198">
        <v>2081</v>
      </c>
      <c r="AB84" s="198">
        <v>11.68</v>
      </c>
    </row>
    <row r="85" spans="2:28" x14ac:dyDescent="0.3">
      <c r="B85" s="149">
        <f t="shared" si="17"/>
        <v>73</v>
      </c>
      <c r="C85" s="149">
        <f t="shared" si="18"/>
        <v>133</v>
      </c>
      <c r="D85" s="201">
        <f t="shared" si="19"/>
        <v>0</v>
      </c>
      <c r="E85" s="149">
        <f t="shared" si="11"/>
        <v>0</v>
      </c>
      <c r="F85" s="200">
        <f t="shared" si="12"/>
        <v>1</v>
      </c>
      <c r="G85" s="149">
        <f t="shared" si="20"/>
        <v>133</v>
      </c>
      <c r="H85" s="201">
        <f t="shared" si="21"/>
        <v>0</v>
      </c>
      <c r="I85" s="149">
        <f t="shared" si="13"/>
        <v>0</v>
      </c>
      <c r="J85" s="200">
        <f t="shared" si="14"/>
        <v>1</v>
      </c>
      <c r="K85" s="200">
        <f t="shared" si="15"/>
        <v>1</v>
      </c>
      <c r="L85" s="200">
        <f t="shared" si="16"/>
        <v>0</v>
      </c>
      <c r="P85" s="198">
        <v>78</v>
      </c>
      <c r="Q85" s="198">
        <v>4.4956999999999997E-2</v>
      </c>
      <c r="R85" s="198">
        <v>4.3968E-2</v>
      </c>
      <c r="S85" s="198">
        <v>63164.6</v>
      </c>
      <c r="T85" s="198">
        <v>2777.2</v>
      </c>
      <c r="U85" s="198">
        <v>9.4700000000000006</v>
      </c>
      <c r="V85" s="198"/>
      <c r="W85" s="198">
        <v>78</v>
      </c>
      <c r="X85" s="198">
        <v>3.1301000000000002E-2</v>
      </c>
      <c r="Y85" s="198">
        <v>3.0818999999999999E-2</v>
      </c>
      <c r="Z85" s="198">
        <v>74013.5</v>
      </c>
      <c r="AA85" s="198">
        <v>2281</v>
      </c>
      <c r="AB85" s="198">
        <v>11</v>
      </c>
    </row>
    <row r="86" spans="2:28" x14ac:dyDescent="0.3">
      <c r="B86" s="149">
        <f t="shared" si="17"/>
        <v>74</v>
      </c>
      <c r="C86" s="149">
        <f t="shared" si="18"/>
        <v>134</v>
      </c>
      <c r="D86" s="201">
        <f t="shared" si="19"/>
        <v>0</v>
      </c>
      <c r="E86" s="149">
        <f t="shared" si="11"/>
        <v>0</v>
      </c>
      <c r="F86" s="200">
        <f t="shared" si="12"/>
        <v>1</v>
      </c>
      <c r="G86" s="149">
        <f t="shared" si="20"/>
        <v>134</v>
      </c>
      <c r="H86" s="201">
        <f t="shared" si="21"/>
        <v>0</v>
      </c>
      <c r="I86" s="149">
        <f t="shared" si="13"/>
        <v>0</v>
      </c>
      <c r="J86" s="200">
        <f t="shared" si="14"/>
        <v>1</v>
      </c>
      <c r="K86" s="200">
        <f t="shared" si="15"/>
        <v>1</v>
      </c>
      <c r="L86" s="200">
        <f t="shared" si="16"/>
        <v>0</v>
      </c>
      <c r="P86" s="198">
        <v>79</v>
      </c>
      <c r="Q86" s="198">
        <v>4.9863999999999999E-2</v>
      </c>
      <c r="R86" s="198">
        <v>4.8651E-2</v>
      </c>
      <c r="S86" s="198">
        <v>60387.4</v>
      </c>
      <c r="T86" s="198">
        <v>2937.9</v>
      </c>
      <c r="U86" s="198">
        <v>8.8800000000000008</v>
      </c>
      <c r="V86" s="198"/>
      <c r="W86" s="198">
        <v>79</v>
      </c>
      <c r="X86" s="198">
        <v>3.5046000000000001E-2</v>
      </c>
      <c r="Y86" s="198">
        <v>3.4443000000000001E-2</v>
      </c>
      <c r="Z86" s="198">
        <v>71732.5</v>
      </c>
      <c r="AA86" s="198">
        <v>2470.6</v>
      </c>
      <c r="AB86" s="198">
        <v>10.33</v>
      </c>
    </row>
    <row r="87" spans="2:28" x14ac:dyDescent="0.3">
      <c r="B87" s="149">
        <f t="shared" si="17"/>
        <v>75</v>
      </c>
      <c r="C87" s="149">
        <f t="shared" si="18"/>
        <v>135</v>
      </c>
      <c r="D87" s="201">
        <f t="shared" si="19"/>
        <v>0</v>
      </c>
      <c r="E87" s="149">
        <f t="shared" si="11"/>
        <v>0</v>
      </c>
      <c r="F87" s="200">
        <f t="shared" si="12"/>
        <v>1</v>
      </c>
      <c r="G87" s="149">
        <f t="shared" si="20"/>
        <v>135</v>
      </c>
      <c r="H87" s="201">
        <f t="shared" si="21"/>
        <v>0</v>
      </c>
      <c r="I87" s="149">
        <f t="shared" si="13"/>
        <v>0</v>
      </c>
      <c r="J87" s="200">
        <f t="shared" si="14"/>
        <v>1</v>
      </c>
      <c r="K87" s="200">
        <f t="shared" si="15"/>
        <v>1</v>
      </c>
      <c r="L87" s="200">
        <f t="shared" si="16"/>
        <v>0</v>
      </c>
      <c r="P87" s="198">
        <v>80</v>
      </c>
      <c r="Q87" s="198">
        <v>5.7273999999999999E-2</v>
      </c>
      <c r="R87" s="198">
        <v>5.5678999999999999E-2</v>
      </c>
      <c r="S87" s="198">
        <v>57449.5</v>
      </c>
      <c r="T87" s="198">
        <v>3198.7</v>
      </c>
      <c r="U87" s="198">
        <v>8.31</v>
      </c>
      <c r="V87" s="198"/>
      <c r="W87" s="198">
        <v>80</v>
      </c>
      <c r="X87" s="198">
        <v>4.0564000000000003E-2</v>
      </c>
      <c r="Y87" s="198">
        <v>3.9758000000000002E-2</v>
      </c>
      <c r="Z87" s="198">
        <v>69261.8</v>
      </c>
      <c r="AA87" s="198">
        <v>2753.7</v>
      </c>
      <c r="AB87" s="198">
        <v>9.68</v>
      </c>
    </row>
    <row r="88" spans="2:28" x14ac:dyDescent="0.3">
      <c r="B88" s="149">
        <f t="shared" si="17"/>
        <v>76</v>
      </c>
      <c r="C88" s="149">
        <f t="shared" si="18"/>
        <v>136</v>
      </c>
      <c r="D88" s="201">
        <f t="shared" si="19"/>
        <v>0</v>
      </c>
      <c r="E88" s="149">
        <f t="shared" si="11"/>
        <v>0</v>
      </c>
      <c r="F88" s="200">
        <f t="shared" si="12"/>
        <v>1</v>
      </c>
      <c r="G88" s="149">
        <f t="shared" si="20"/>
        <v>136</v>
      </c>
      <c r="H88" s="201">
        <f t="shared" si="21"/>
        <v>0</v>
      </c>
      <c r="I88" s="149">
        <f t="shared" si="13"/>
        <v>0</v>
      </c>
      <c r="J88" s="200">
        <f t="shared" si="14"/>
        <v>1</v>
      </c>
      <c r="K88" s="200">
        <f t="shared" si="15"/>
        <v>1</v>
      </c>
      <c r="L88" s="200">
        <f t="shared" si="16"/>
        <v>0</v>
      </c>
      <c r="P88" s="198">
        <v>81</v>
      </c>
      <c r="Q88" s="198">
        <v>6.3991999999999993E-2</v>
      </c>
      <c r="R88" s="198">
        <v>6.2008000000000001E-2</v>
      </c>
      <c r="S88" s="198">
        <v>54250.7</v>
      </c>
      <c r="T88" s="198">
        <v>3364</v>
      </c>
      <c r="U88" s="198">
        <v>7.77</v>
      </c>
      <c r="V88" s="198"/>
      <c r="W88" s="198">
        <v>81</v>
      </c>
      <c r="X88" s="198">
        <v>4.5984999999999998E-2</v>
      </c>
      <c r="Y88" s="198">
        <v>4.4950999999999998E-2</v>
      </c>
      <c r="Z88" s="198">
        <v>66508.100000000006</v>
      </c>
      <c r="AA88" s="198">
        <v>2989.6</v>
      </c>
      <c r="AB88" s="198">
        <v>9.06</v>
      </c>
    </row>
    <row r="89" spans="2:28" x14ac:dyDescent="0.3">
      <c r="B89" s="149">
        <f t="shared" si="17"/>
        <v>77</v>
      </c>
      <c r="C89" s="149">
        <f t="shared" si="18"/>
        <v>137</v>
      </c>
      <c r="D89" s="201">
        <f t="shared" si="19"/>
        <v>0</v>
      </c>
      <c r="E89" s="149">
        <f t="shared" si="11"/>
        <v>0</v>
      </c>
      <c r="F89" s="200">
        <f t="shared" si="12"/>
        <v>1</v>
      </c>
      <c r="G89" s="149">
        <f t="shared" si="20"/>
        <v>137</v>
      </c>
      <c r="H89" s="201">
        <f t="shared" si="21"/>
        <v>0</v>
      </c>
      <c r="I89" s="149">
        <f t="shared" si="13"/>
        <v>0</v>
      </c>
      <c r="J89" s="200">
        <f t="shared" si="14"/>
        <v>1</v>
      </c>
      <c r="K89" s="200">
        <f t="shared" si="15"/>
        <v>1</v>
      </c>
      <c r="L89" s="200">
        <f t="shared" si="16"/>
        <v>0</v>
      </c>
      <c r="P89" s="198">
        <v>82</v>
      </c>
      <c r="Q89" s="198">
        <v>7.2609000000000007E-2</v>
      </c>
      <c r="R89" s="198">
        <v>7.0065000000000002E-2</v>
      </c>
      <c r="S89" s="198">
        <v>50886.8</v>
      </c>
      <c r="T89" s="198">
        <v>3565.4</v>
      </c>
      <c r="U89" s="198">
        <v>7.25</v>
      </c>
      <c r="V89" s="198"/>
      <c r="W89" s="198">
        <v>82</v>
      </c>
      <c r="X89" s="198">
        <v>5.2248999999999997E-2</v>
      </c>
      <c r="Y89" s="198">
        <v>5.0918999999999999E-2</v>
      </c>
      <c r="Z89" s="198">
        <v>63518.5</v>
      </c>
      <c r="AA89" s="198">
        <v>3234.3</v>
      </c>
      <c r="AB89" s="198">
        <v>8.4600000000000009</v>
      </c>
    </row>
    <row r="90" spans="2:28" x14ac:dyDescent="0.3">
      <c r="B90" s="149">
        <f t="shared" si="17"/>
        <v>78</v>
      </c>
      <c r="C90" s="149">
        <f t="shared" si="18"/>
        <v>138</v>
      </c>
      <c r="D90" s="201">
        <f t="shared" si="19"/>
        <v>0</v>
      </c>
      <c r="E90" s="149">
        <f t="shared" si="11"/>
        <v>0</v>
      </c>
      <c r="F90" s="200">
        <f t="shared" si="12"/>
        <v>1</v>
      </c>
      <c r="G90" s="149">
        <f t="shared" si="20"/>
        <v>138</v>
      </c>
      <c r="H90" s="201">
        <f t="shared" si="21"/>
        <v>0</v>
      </c>
      <c r="I90" s="149">
        <f t="shared" si="13"/>
        <v>0</v>
      </c>
      <c r="J90" s="200">
        <f t="shared" si="14"/>
        <v>1</v>
      </c>
      <c r="K90" s="200">
        <f t="shared" si="15"/>
        <v>1</v>
      </c>
      <c r="L90" s="200">
        <f t="shared" si="16"/>
        <v>0</v>
      </c>
      <c r="P90" s="198">
        <v>83</v>
      </c>
      <c r="Q90" s="198">
        <v>7.9822000000000004E-2</v>
      </c>
      <c r="R90" s="198">
        <v>7.6758000000000007E-2</v>
      </c>
      <c r="S90" s="198">
        <v>47321.4</v>
      </c>
      <c r="T90" s="198">
        <v>3632.3</v>
      </c>
      <c r="U90" s="198">
        <v>6.76</v>
      </c>
      <c r="V90" s="198"/>
      <c r="W90" s="198">
        <v>83</v>
      </c>
      <c r="X90" s="198">
        <v>5.8615E-2</v>
      </c>
      <c r="Y90" s="198">
        <v>5.6945999999999997E-2</v>
      </c>
      <c r="Z90" s="198">
        <v>60284.2</v>
      </c>
      <c r="AA90" s="198">
        <v>3433</v>
      </c>
      <c r="AB90" s="198">
        <v>7.89</v>
      </c>
    </row>
    <row r="91" spans="2:28" x14ac:dyDescent="0.3">
      <c r="B91" s="149">
        <f t="shared" si="17"/>
        <v>79</v>
      </c>
      <c r="C91" s="149">
        <f t="shared" si="18"/>
        <v>139</v>
      </c>
      <c r="D91" s="201">
        <f t="shared" si="19"/>
        <v>0</v>
      </c>
      <c r="E91" s="149">
        <f t="shared" si="11"/>
        <v>0</v>
      </c>
      <c r="F91" s="200">
        <f t="shared" si="12"/>
        <v>1</v>
      </c>
      <c r="G91" s="149">
        <f t="shared" si="20"/>
        <v>139</v>
      </c>
      <c r="H91" s="201">
        <f t="shared" si="21"/>
        <v>0</v>
      </c>
      <c r="I91" s="149">
        <f t="shared" si="13"/>
        <v>0</v>
      </c>
      <c r="J91" s="200">
        <f t="shared" si="14"/>
        <v>1</v>
      </c>
      <c r="K91" s="200">
        <f t="shared" si="15"/>
        <v>1</v>
      </c>
      <c r="L91" s="200">
        <f t="shared" si="16"/>
        <v>0</v>
      </c>
      <c r="P91" s="198">
        <v>84</v>
      </c>
      <c r="Q91" s="198">
        <v>8.9868000000000003E-2</v>
      </c>
      <c r="R91" s="198">
        <v>8.6003999999999997E-2</v>
      </c>
      <c r="S91" s="198">
        <v>43689.1</v>
      </c>
      <c r="T91" s="198">
        <v>3757.4</v>
      </c>
      <c r="U91" s="198">
        <v>6.28</v>
      </c>
      <c r="V91" s="198"/>
      <c r="W91" s="198">
        <v>84</v>
      </c>
      <c r="X91" s="198">
        <v>6.6199999999999995E-2</v>
      </c>
      <c r="Y91" s="198">
        <v>6.4078999999999997E-2</v>
      </c>
      <c r="Z91" s="198">
        <v>56851.3</v>
      </c>
      <c r="AA91" s="198">
        <v>3643</v>
      </c>
      <c r="AB91" s="198">
        <v>7.34</v>
      </c>
    </row>
    <row r="92" spans="2:28" x14ac:dyDescent="0.3">
      <c r="B92" s="149">
        <f t="shared" si="17"/>
        <v>80</v>
      </c>
      <c r="C92" s="149">
        <f t="shared" si="18"/>
        <v>140</v>
      </c>
      <c r="D92" s="201">
        <f t="shared" si="19"/>
        <v>0</v>
      </c>
      <c r="E92" s="149">
        <f t="shared" si="11"/>
        <v>0</v>
      </c>
      <c r="F92" s="200">
        <f t="shared" si="12"/>
        <v>1</v>
      </c>
      <c r="G92" s="149">
        <f t="shared" si="20"/>
        <v>140</v>
      </c>
      <c r="H92" s="201">
        <f t="shared" si="21"/>
        <v>0</v>
      </c>
      <c r="I92" s="149">
        <f t="shared" si="13"/>
        <v>0</v>
      </c>
      <c r="J92" s="200">
        <f t="shared" si="14"/>
        <v>1</v>
      </c>
      <c r="K92" s="200">
        <f t="shared" si="15"/>
        <v>1</v>
      </c>
      <c r="L92" s="200">
        <f t="shared" si="16"/>
        <v>0</v>
      </c>
      <c r="P92" s="198">
        <v>85</v>
      </c>
      <c r="Q92" s="198">
        <v>0.10086000000000001</v>
      </c>
      <c r="R92" s="198">
        <v>9.6018000000000006E-2</v>
      </c>
      <c r="S92" s="198">
        <v>39931.599999999999</v>
      </c>
      <c r="T92" s="198">
        <v>3834.2</v>
      </c>
      <c r="U92" s="198">
        <v>5.82</v>
      </c>
      <c r="V92" s="198"/>
      <c r="W92" s="198">
        <v>85</v>
      </c>
      <c r="X92" s="198">
        <v>7.5078000000000006E-2</v>
      </c>
      <c r="Y92" s="198">
        <v>7.2361999999999996E-2</v>
      </c>
      <c r="Z92" s="198">
        <v>53208.3</v>
      </c>
      <c r="AA92" s="198">
        <v>3850.3</v>
      </c>
      <c r="AB92" s="198">
        <v>6.81</v>
      </c>
    </row>
    <row r="93" spans="2:28" x14ac:dyDescent="0.3">
      <c r="B93" s="149">
        <f t="shared" si="17"/>
        <v>81</v>
      </c>
      <c r="C93" s="149">
        <f t="shared" si="18"/>
        <v>141</v>
      </c>
      <c r="D93" s="201">
        <f t="shared" si="19"/>
        <v>0</v>
      </c>
      <c r="E93" s="149">
        <f t="shared" si="11"/>
        <v>0</v>
      </c>
      <c r="F93" s="200">
        <f t="shared" si="12"/>
        <v>1</v>
      </c>
      <c r="G93" s="149">
        <f t="shared" si="20"/>
        <v>141</v>
      </c>
      <c r="H93" s="201">
        <f t="shared" si="21"/>
        <v>0</v>
      </c>
      <c r="I93" s="149">
        <f t="shared" si="13"/>
        <v>0</v>
      </c>
      <c r="J93" s="200">
        <f t="shared" si="14"/>
        <v>1</v>
      </c>
      <c r="K93" s="200">
        <f t="shared" si="15"/>
        <v>1</v>
      </c>
      <c r="L93" s="200">
        <f t="shared" si="16"/>
        <v>0</v>
      </c>
      <c r="P93" s="198">
        <v>86</v>
      </c>
      <c r="Q93" s="198">
        <v>0.113688</v>
      </c>
      <c r="R93" s="198">
        <v>0.107573</v>
      </c>
      <c r="S93" s="198">
        <v>36097.5</v>
      </c>
      <c r="T93" s="198">
        <v>3883.1</v>
      </c>
      <c r="U93" s="198">
        <v>5.39</v>
      </c>
      <c r="V93" s="198"/>
      <c r="W93" s="198">
        <v>86</v>
      </c>
      <c r="X93" s="198">
        <v>8.6421999999999999E-2</v>
      </c>
      <c r="Y93" s="198">
        <v>8.2843E-2</v>
      </c>
      <c r="Z93" s="198">
        <v>49358.1</v>
      </c>
      <c r="AA93" s="198">
        <v>4089</v>
      </c>
      <c r="AB93" s="198">
        <v>6.3</v>
      </c>
    </row>
    <row r="94" spans="2:28" x14ac:dyDescent="0.3">
      <c r="B94" s="149">
        <f t="shared" si="17"/>
        <v>82</v>
      </c>
      <c r="C94" s="149">
        <f t="shared" si="18"/>
        <v>142</v>
      </c>
      <c r="D94" s="201">
        <f t="shared" si="19"/>
        <v>0</v>
      </c>
      <c r="E94" s="149">
        <f t="shared" si="11"/>
        <v>0</v>
      </c>
      <c r="F94" s="200">
        <f t="shared" si="12"/>
        <v>1</v>
      </c>
      <c r="G94" s="149">
        <f t="shared" si="20"/>
        <v>142</v>
      </c>
      <c r="H94" s="201">
        <f t="shared" si="21"/>
        <v>0</v>
      </c>
      <c r="I94" s="149">
        <f t="shared" si="13"/>
        <v>0</v>
      </c>
      <c r="J94" s="200">
        <f t="shared" si="14"/>
        <v>1</v>
      </c>
      <c r="K94" s="200">
        <f t="shared" si="15"/>
        <v>1</v>
      </c>
      <c r="L94" s="200">
        <f t="shared" si="16"/>
        <v>0</v>
      </c>
      <c r="P94" s="198">
        <v>87</v>
      </c>
      <c r="Q94" s="198">
        <v>0.128612</v>
      </c>
      <c r="R94" s="198">
        <v>0.120841</v>
      </c>
      <c r="S94" s="198">
        <v>32214.3</v>
      </c>
      <c r="T94" s="198">
        <v>3892.8</v>
      </c>
      <c r="U94" s="198">
        <v>4.9800000000000004</v>
      </c>
      <c r="V94" s="198"/>
      <c r="W94" s="198">
        <v>87</v>
      </c>
      <c r="X94" s="198">
        <v>9.7489000000000006E-2</v>
      </c>
      <c r="Y94" s="198">
        <v>9.2957999999999999E-2</v>
      </c>
      <c r="Z94" s="198">
        <v>45269.1</v>
      </c>
      <c r="AA94" s="198">
        <v>4208.1000000000004</v>
      </c>
      <c r="AB94" s="198">
        <v>5.82</v>
      </c>
    </row>
    <row r="95" spans="2:28" x14ac:dyDescent="0.3">
      <c r="B95" s="149">
        <f t="shared" si="17"/>
        <v>83</v>
      </c>
      <c r="C95" s="149">
        <f t="shared" si="18"/>
        <v>143</v>
      </c>
      <c r="D95" s="201">
        <f t="shared" si="19"/>
        <v>0</v>
      </c>
      <c r="E95" s="149">
        <f t="shared" si="11"/>
        <v>0</v>
      </c>
      <c r="F95" s="200">
        <f t="shared" si="12"/>
        <v>1</v>
      </c>
      <c r="G95" s="149">
        <f t="shared" si="20"/>
        <v>143</v>
      </c>
      <c r="H95" s="201">
        <f t="shared" si="21"/>
        <v>0</v>
      </c>
      <c r="I95" s="149">
        <f t="shared" si="13"/>
        <v>0</v>
      </c>
      <c r="J95" s="200">
        <f t="shared" si="14"/>
        <v>1</v>
      </c>
      <c r="K95" s="200">
        <f t="shared" si="15"/>
        <v>1</v>
      </c>
      <c r="L95" s="200">
        <f t="shared" si="16"/>
        <v>0</v>
      </c>
      <c r="P95" s="198">
        <v>88</v>
      </c>
      <c r="Q95" s="198">
        <v>0.14612800000000001</v>
      </c>
      <c r="R95" s="198">
        <v>0.13617799999999999</v>
      </c>
      <c r="S95" s="198">
        <v>28321.5</v>
      </c>
      <c r="T95" s="198">
        <v>3856.8</v>
      </c>
      <c r="U95" s="198">
        <v>4.59</v>
      </c>
      <c r="V95" s="198"/>
      <c r="W95" s="198">
        <v>88</v>
      </c>
      <c r="X95" s="198">
        <v>0.11272799999999999</v>
      </c>
      <c r="Y95" s="198">
        <v>0.106713</v>
      </c>
      <c r="Z95" s="198">
        <v>41061</v>
      </c>
      <c r="AA95" s="198">
        <v>4381.8</v>
      </c>
      <c r="AB95" s="198">
        <v>5.37</v>
      </c>
    </row>
    <row r="96" spans="2:28" x14ac:dyDescent="0.3">
      <c r="B96" s="149">
        <f t="shared" si="17"/>
        <v>84</v>
      </c>
      <c r="C96" s="149">
        <f t="shared" si="18"/>
        <v>144</v>
      </c>
      <c r="D96" s="201">
        <f t="shared" si="19"/>
        <v>0</v>
      </c>
      <c r="E96" s="149">
        <f t="shared" si="11"/>
        <v>0</v>
      </c>
      <c r="F96" s="200">
        <f t="shared" si="12"/>
        <v>1</v>
      </c>
      <c r="G96" s="149">
        <f t="shared" si="20"/>
        <v>144</v>
      </c>
      <c r="H96" s="201">
        <f t="shared" si="21"/>
        <v>0</v>
      </c>
      <c r="I96" s="149">
        <f t="shared" si="13"/>
        <v>0</v>
      </c>
      <c r="J96" s="200">
        <f t="shared" si="14"/>
        <v>1</v>
      </c>
      <c r="K96" s="200">
        <f t="shared" si="15"/>
        <v>1</v>
      </c>
      <c r="L96" s="200">
        <f t="shared" si="16"/>
        <v>0</v>
      </c>
      <c r="P96" s="198">
        <v>89</v>
      </c>
      <c r="Q96" s="198">
        <v>0.16378999999999999</v>
      </c>
      <c r="R96" s="198">
        <v>0.151392</v>
      </c>
      <c r="S96" s="198">
        <v>24464.799999999999</v>
      </c>
      <c r="T96" s="198">
        <v>3703.8</v>
      </c>
      <c r="U96" s="198">
        <v>4.24</v>
      </c>
      <c r="V96" s="198"/>
      <c r="W96" s="198">
        <v>89</v>
      </c>
      <c r="X96" s="198">
        <v>0.12739200000000001</v>
      </c>
      <c r="Y96" s="198">
        <v>0.119764</v>
      </c>
      <c r="Z96" s="198">
        <v>36679.199999999997</v>
      </c>
      <c r="AA96" s="198">
        <v>4392.8999999999996</v>
      </c>
      <c r="AB96" s="198">
        <v>4.95</v>
      </c>
    </row>
    <row r="97" spans="2:28" x14ac:dyDescent="0.3">
      <c r="B97" s="149">
        <f t="shared" si="17"/>
        <v>85</v>
      </c>
      <c r="C97" s="149">
        <f t="shared" si="18"/>
        <v>145</v>
      </c>
      <c r="D97" s="201">
        <f t="shared" si="19"/>
        <v>0</v>
      </c>
      <c r="E97" s="149">
        <f t="shared" si="11"/>
        <v>0</v>
      </c>
      <c r="F97" s="200">
        <f t="shared" si="12"/>
        <v>1</v>
      </c>
      <c r="G97" s="149">
        <f t="shared" si="20"/>
        <v>145</v>
      </c>
      <c r="H97" s="201">
        <f t="shared" si="21"/>
        <v>0</v>
      </c>
      <c r="I97" s="149">
        <f t="shared" si="13"/>
        <v>0</v>
      </c>
      <c r="J97" s="200">
        <f t="shared" si="14"/>
        <v>1</v>
      </c>
      <c r="K97" s="200">
        <f t="shared" si="15"/>
        <v>1</v>
      </c>
      <c r="L97" s="200">
        <f t="shared" si="16"/>
        <v>0</v>
      </c>
      <c r="P97" s="198">
        <v>90</v>
      </c>
      <c r="Q97" s="198">
        <v>0.18656700000000001</v>
      </c>
      <c r="R97" s="198">
        <v>0.17064799999999999</v>
      </c>
      <c r="S97" s="198">
        <v>20761</v>
      </c>
      <c r="T97" s="198">
        <v>3542.8</v>
      </c>
      <c r="U97" s="198">
        <v>3.9</v>
      </c>
      <c r="V97" s="198"/>
      <c r="W97" s="198">
        <v>90</v>
      </c>
      <c r="X97" s="198">
        <v>0.145816</v>
      </c>
      <c r="Y97" s="198">
        <v>0.135907</v>
      </c>
      <c r="Z97" s="198">
        <v>32286.400000000001</v>
      </c>
      <c r="AA97" s="198">
        <v>4388</v>
      </c>
      <c r="AB97" s="198">
        <v>4.55</v>
      </c>
    </row>
    <row r="98" spans="2:28" x14ac:dyDescent="0.3">
      <c r="B98" s="149">
        <f t="shared" si="17"/>
        <v>86</v>
      </c>
      <c r="C98" s="149">
        <f t="shared" si="18"/>
        <v>146</v>
      </c>
      <c r="D98" s="201">
        <f t="shared" si="19"/>
        <v>0</v>
      </c>
      <c r="E98" s="149">
        <f t="shared" si="11"/>
        <v>0</v>
      </c>
      <c r="F98" s="200">
        <f t="shared" si="12"/>
        <v>1</v>
      </c>
      <c r="G98" s="149">
        <f t="shared" si="20"/>
        <v>146</v>
      </c>
      <c r="H98" s="201">
        <f t="shared" si="21"/>
        <v>0</v>
      </c>
      <c r="I98" s="149">
        <f t="shared" si="13"/>
        <v>0</v>
      </c>
      <c r="J98" s="200">
        <f t="shared" si="14"/>
        <v>1</v>
      </c>
      <c r="K98" s="200">
        <f t="shared" si="15"/>
        <v>1</v>
      </c>
      <c r="L98" s="200">
        <f t="shared" si="16"/>
        <v>0</v>
      </c>
      <c r="P98" s="198">
        <v>91</v>
      </c>
      <c r="Q98" s="198">
        <v>0.20636299999999999</v>
      </c>
      <c r="R98" s="198">
        <v>0.18706100000000001</v>
      </c>
      <c r="S98" s="198">
        <v>17218.2</v>
      </c>
      <c r="T98" s="198">
        <v>3220.9</v>
      </c>
      <c r="U98" s="198">
        <v>3.6</v>
      </c>
      <c r="V98" s="198"/>
      <c r="W98" s="198">
        <v>91</v>
      </c>
      <c r="X98" s="198">
        <v>0.16617799999999999</v>
      </c>
      <c r="Y98" s="198">
        <v>0.15343000000000001</v>
      </c>
      <c r="Z98" s="198">
        <v>27898.400000000001</v>
      </c>
      <c r="AA98" s="198">
        <v>4280.3999999999996</v>
      </c>
      <c r="AB98" s="198">
        <v>4.1900000000000004</v>
      </c>
    </row>
    <row r="99" spans="2:28" x14ac:dyDescent="0.3">
      <c r="B99" s="149">
        <f t="shared" si="17"/>
        <v>87</v>
      </c>
      <c r="C99" s="149">
        <f t="shared" si="18"/>
        <v>147</v>
      </c>
      <c r="D99" s="201">
        <f t="shared" si="19"/>
        <v>0</v>
      </c>
      <c r="E99" s="149">
        <f t="shared" si="11"/>
        <v>0</v>
      </c>
      <c r="F99" s="200">
        <f t="shared" si="12"/>
        <v>1</v>
      </c>
      <c r="G99" s="149">
        <f t="shared" si="20"/>
        <v>147</v>
      </c>
      <c r="H99" s="201">
        <f t="shared" si="21"/>
        <v>0</v>
      </c>
      <c r="I99" s="149">
        <f t="shared" si="13"/>
        <v>0</v>
      </c>
      <c r="J99" s="200">
        <f t="shared" si="14"/>
        <v>1</v>
      </c>
      <c r="K99" s="200">
        <f t="shared" si="15"/>
        <v>1</v>
      </c>
      <c r="L99" s="200">
        <f t="shared" si="16"/>
        <v>0</v>
      </c>
      <c r="P99" s="198">
        <v>92</v>
      </c>
      <c r="Q99" s="198">
        <v>0.23455400000000001</v>
      </c>
      <c r="R99" s="198">
        <v>0.20993300000000001</v>
      </c>
      <c r="S99" s="198">
        <v>13997.3</v>
      </c>
      <c r="T99" s="198">
        <v>2938.5</v>
      </c>
      <c r="U99" s="198">
        <v>3.32</v>
      </c>
      <c r="V99" s="198"/>
      <c r="W99" s="198">
        <v>92</v>
      </c>
      <c r="X99" s="198">
        <v>0.18953300000000001</v>
      </c>
      <c r="Y99" s="198">
        <v>0.173126</v>
      </c>
      <c r="Z99" s="198">
        <v>23618</v>
      </c>
      <c r="AA99" s="198">
        <v>4088.9</v>
      </c>
      <c r="AB99" s="198">
        <v>3.86</v>
      </c>
    </row>
    <row r="100" spans="2:28" x14ac:dyDescent="0.3">
      <c r="B100" s="149">
        <f t="shared" si="17"/>
        <v>88</v>
      </c>
      <c r="C100" s="149">
        <f t="shared" si="18"/>
        <v>148</v>
      </c>
      <c r="D100" s="201">
        <f t="shared" si="19"/>
        <v>0</v>
      </c>
      <c r="E100" s="149">
        <f t="shared" si="11"/>
        <v>0</v>
      </c>
      <c r="F100" s="200">
        <f t="shared" si="12"/>
        <v>1</v>
      </c>
      <c r="G100" s="149">
        <f t="shared" si="20"/>
        <v>148</v>
      </c>
      <c r="H100" s="201">
        <f t="shared" si="21"/>
        <v>0</v>
      </c>
      <c r="I100" s="149">
        <f t="shared" si="13"/>
        <v>0</v>
      </c>
      <c r="J100" s="200">
        <f t="shared" si="14"/>
        <v>1</v>
      </c>
      <c r="K100" s="200">
        <f t="shared" si="15"/>
        <v>1</v>
      </c>
      <c r="L100" s="200">
        <f t="shared" si="16"/>
        <v>0</v>
      </c>
      <c r="P100" s="198">
        <v>93</v>
      </c>
      <c r="Q100" s="198">
        <v>0.259218</v>
      </c>
      <c r="R100" s="198">
        <v>0.22947600000000001</v>
      </c>
      <c r="S100" s="198">
        <v>11058.8</v>
      </c>
      <c r="T100" s="198">
        <v>2537.6999999999998</v>
      </c>
      <c r="U100" s="198">
        <v>3.07</v>
      </c>
      <c r="V100" s="198"/>
      <c r="W100" s="198">
        <v>93</v>
      </c>
      <c r="X100" s="198">
        <v>0.21287600000000001</v>
      </c>
      <c r="Y100" s="198">
        <v>0.19239800000000001</v>
      </c>
      <c r="Z100" s="198">
        <v>19529.099999999999</v>
      </c>
      <c r="AA100" s="198">
        <v>3757.4</v>
      </c>
      <c r="AB100" s="198">
        <v>3.56</v>
      </c>
    </row>
    <row r="101" spans="2:28" x14ac:dyDescent="0.3">
      <c r="B101" s="149">
        <f t="shared" si="17"/>
        <v>89</v>
      </c>
      <c r="C101" s="149">
        <f t="shared" si="18"/>
        <v>149</v>
      </c>
      <c r="D101" s="201">
        <f t="shared" si="19"/>
        <v>0</v>
      </c>
      <c r="E101" s="149">
        <f t="shared" si="11"/>
        <v>0</v>
      </c>
      <c r="F101" s="200">
        <f t="shared" si="12"/>
        <v>1</v>
      </c>
      <c r="G101" s="149">
        <f t="shared" si="20"/>
        <v>149</v>
      </c>
      <c r="H101" s="201">
        <f t="shared" si="21"/>
        <v>0</v>
      </c>
      <c r="I101" s="149">
        <f t="shared" si="13"/>
        <v>0</v>
      </c>
      <c r="J101" s="200">
        <f t="shared" si="14"/>
        <v>1</v>
      </c>
      <c r="K101" s="200">
        <f t="shared" si="15"/>
        <v>1</v>
      </c>
      <c r="L101" s="200">
        <f t="shared" si="16"/>
        <v>0</v>
      </c>
      <c r="P101" s="198">
        <v>94</v>
      </c>
      <c r="Q101" s="198">
        <v>0.28962399999999999</v>
      </c>
      <c r="R101" s="198">
        <v>0.25298799999999999</v>
      </c>
      <c r="S101" s="198">
        <v>8521.1</v>
      </c>
      <c r="T101" s="198">
        <v>2155.6999999999998</v>
      </c>
      <c r="U101" s="198">
        <v>2.83</v>
      </c>
      <c r="V101" s="198"/>
      <c r="W101" s="198">
        <v>94</v>
      </c>
      <c r="X101" s="198">
        <v>0.23605400000000001</v>
      </c>
      <c r="Y101" s="198">
        <v>0.21113399999999999</v>
      </c>
      <c r="Z101" s="198">
        <v>15771.7</v>
      </c>
      <c r="AA101" s="198">
        <v>3330</v>
      </c>
      <c r="AB101" s="198">
        <v>3.29</v>
      </c>
    </row>
    <row r="102" spans="2:28" x14ac:dyDescent="0.3">
      <c r="B102" s="149">
        <f t="shared" si="17"/>
        <v>90</v>
      </c>
      <c r="C102" s="149">
        <f t="shared" si="18"/>
        <v>150</v>
      </c>
      <c r="D102" s="201">
        <f t="shared" si="19"/>
        <v>0</v>
      </c>
      <c r="E102" s="149">
        <f t="shared" si="11"/>
        <v>0</v>
      </c>
      <c r="F102" s="200">
        <f t="shared" si="12"/>
        <v>1</v>
      </c>
      <c r="G102" s="149">
        <f t="shared" si="20"/>
        <v>150</v>
      </c>
      <c r="H102" s="201">
        <f t="shared" si="21"/>
        <v>0</v>
      </c>
      <c r="I102" s="149">
        <f t="shared" si="13"/>
        <v>0</v>
      </c>
      <c r="J102" s="200">
        <f t="shared" si="14"/>
        <v>1</v>
      </c>
      <c r="K102" s="200">
        <f t="shared" si="15"/>
        <v>1</v>
      </c>
      <c r="L102" s="200">
        <f t="shared" si="16"/>
        <v>0</v>
      </c>
      <c r="P102" s="198">
        <v>95</v>
      </c>
      <c r="Q102" s="198">
        <v>0.32073600000000002</v>
      </c>
      <c r="R102" s="198">
        <v>0.27640900000000002</v>
      </c>
      <c r="S102" s="198">
        <v>6365.3</v>
      </c>
      <c r="T102" s="198">
        <v>1759.4</v>
      </c>
      <c r="U102" s="198">
        <v>2.62</v>
      </c>
      <c r="V102" s="198"/>
      <c r="W102" s="198">
        <v>95</v>
      </c>
      <c r="X102" s="198">
        <v>0.263486</v>
      </c>
      <c r="Y102" s="198">
        <v>0.23281399999999999</v>
      </c>
      <c r="Z102" s="198">
        <v>12441.8</v>
      </c>
      <c r="AA102" s="198">
        <v>2896.6</v>
      </c>
      <c r="AB102" s="198">
        <v>3.04</v>
      </c>
    </row>
    <row r="103" spans="2:28" x14ac:dyDescent="0.3">
      <c r="B103" s="149">
        <f t="shared" si="17"/>
        <v>91</v>
      </c>
      <c r="C103" s="149">
        <f t="shared" si="18"/>
        <v>151</v>
      </c>
      <c r="D103" s="201">
        <f t="shared" si="19"/>
        <v>0</v>
      </c>
      <c r="E103" s="149">
        <f t="shared" si="11"/>
        <v>0</v>
      </c>
      <c r="F103" s="200">
        <f t="shared" si="12"/>
        <v>1</v>
      </c>
      <c r="G103" s="149">
        <f t="shared" si="20"/>
        <v>151</v>
      </c>
      <c r="H103" s="201">
        <f t="shared" si="21"/>
        <v>0</v>
      </c>
      <c r="I103" s="149">
        <f t="shared" si="13"/>
        <v>0</v>
      </c>
      <c r="J103" s="200">
        <f t="shared" si="14"/>
        <v>1</v>
      </c>
      <c r="K103" s="200">
        <f t="shared" si="15"/>
        <v>1</v>
      </c>
      <c r="L103" s="200">
        <f t="shared" si="16"/>
        <v>0</v>
      </c>
      <c r="P103" s="198">
        <v>96</v>
      </c>
      <c r="Q103" s="198">
        <v>0.34971000000000002</v>
      </c>
      <c r="R103" s="198">
        <v>0.29766199999999998</v>
      </c>
      <c r="S103" s="198">
        <v>4605.8999999999996</v>
      </c>
      <c r="T103" s="198">
        <v>1371</v>
      </c>
      <c r="U103" s="198">
        <v>2.4300000000000002</v>
      </c>
      <c r="V103" s="198"/>
      <c r="W103" s="198">
        <v>96</v>
      </c>
      <c r="X103" s="198">
        <v>0.289856</v>
      </c>
      <c r="Y103" s="198">
        <v>0.25316499999999997</v>
      </c>
      <c r="Z103" s="198">
        <v>9545.2000000000007</v>
      </c>
      <c r="AA103" s="198">
        <v>2416.5</v>
      </c>
      <c r="AB103" s="198">
        <v>2.81</v>
      </c>
    </row>
    <row r="104" spans="2:28" x14ac:dyDescent="0.3">
      <c r="B104" s="149">
        <f t="shared" si="17"/>
        <v>92</v>
      </c>
      <c r="C104" s="149">
        <f t="shared" si="18"/>
        <v>152</v>
      </c>
      <c r="D104" s="201">
        <f t="shared" si="19"/>
        <v>0</v>
      </c>
      <c r="E104" s="149">
        <f t="shared" si="11"/>
        <v>0</v>
      </c>
      <c r="F104" s="200">
        <f t="shared" si="12"/>
        <v>1</v>
      </c>
      <c r="G104" s="149">
        <f t="shared" si="20"/>
        <v>152</v>
      </c>
      <c r="H104" s="201">
        <f t="shared" si="21"/>
        <v>0</v>
      </c>
      <c r="I104" s="149">
        <f t="shared" si="13"/>
        <v>0</v>
      </c>
      <c r="J104" s="200">
        <f t="shared" si="14"/>
        <v>1</v>
      </c>
      <c r="K104" s="200">
        <f t="shared" si="15"/>
        <v>1</v>
      </c>
      <c r="L104" s="200">
        <f t="shared" si="16"/>
        <v>0</v>
      </c>
      <c r="P104" s="198">
        <v>97</v>
      </c>
      <c r="Q104" s="198">
        <v>0.39280199999999998</v>
      </c>
      <c r="R104" s="198">
        <v>0.32832</v>
      </c>
      <c r="S104" s="198">
        <v>3234.9</v>
      </c>
      <c r="T104" s="198">
        <v>1062.0999999999999</v>
      </c>
      <c r="U104" s="198">
        <v>2.25</v>
      </c>
      <c r="V104" s="198"/>
      <c r="W104" s="198">
        <v>97</v>
      </c>
      <c r="X104" s="198">
        <v>0.32453900000000002</v>
      </c>
      <c r="Y104" s="198">
        <v>0.27922799999999998</v>
      </c>
      <c r="Z104" s="198">
        <v>7128.7</v>
      </c>
      <c r="AA104" s="198">
        <v>1990.5</v>
      </c>
      <c r="AB104" s="198">
        <v>2.59</v>
      </c>
    </row>
    <row r="105" spans="2:28" x14ac:dyDescent="0.3">
      <c r="B105" s="149">
        <f t="shared" si="17"/>
        <v>93</v>
      </c>
      <c r="C105" s="149">
        <f t="shared" si="18"/>
        <v>153</v>
      </c>
      <c r="D105" s="201">
        <f t="shared" si="19"/>
        <v>0</v>
      </c>
      <c r="E105" s="149">
        <f t="shared" si="11"/>
        <v>0</v>
      </c>
      <c r="F105" s="200">
        <f t="shared" si="12"/>
        <v>1</v>
      </c>
      <c r="G105" s="149">
        <f t="shared" si="20"/>
        <v>153</v>
      </c>
      <c r="H105" s="201">
        <f t="shared" si="21"/>
        <v>0</v>
      </c>
      <c r="I105" s="149">
        <f t="shared" si="13"/>
        <v>0</v>
      </c>
      <c r="J105" s="200">
        <f t="shared" si="14"/>
        <v>1</v>
      </c>
      <c r="K105" s="200">
        <f t="shared" si="15"/>
        <v>1</v>
      </c>
      <c r="L105" s="200">
        <f t="shared" si="16"/>
        <v>0</v>
      </c>
      <c r="P105" s="198">
        <v>98</v>
      </c>
      <c r="Q105" s="198">
        <v>0.40904499999999999</v>
      </c>
      <c r="R105" s="198">
        <v>0.33959099999999998</v>
      </c>
      <c r="S105" s="198">
        <v>2172.8000000000002</v>
      </c>
      <c r="T105" s="198">
        <v>737.9</v>
      </c>
      <c r="U105" s="198">
        <v>2.1</v>
      </c>
      <c r="V105" s="198"/>
      <c r="W105" s="198">
        <v>98</v>
      </c>
      <c r="X105" s="198">
        <v>0.36007899999999998</v>
      </c>
      <c r="Y105" s="198">
        <v>0.30514200000000002</v>
      </c>
      <c r="Z105" s="198">
        <v>5138.1000000000004</v>
      </c>
      <c r="AA105" s="198">
        <v>1567.9</v>
      </c>
      <c r="AB105" s="198">
        <v>2.41</v>
      </c>
    </row>
    <row r="106" spans="2:28" x14ac:dyDescent="0.3">
      <c r="B106" s="149">
        <f t="shared" si="17"/>
        <v>94</v>
      </c>
      <c r="C106" s="149">
        <f t="shared" si="18"/>
        <v>154</v>
      </c>
      <c r="D106" s="201">
        <f t="shared" si="19"/>
        <v>0</v>
      </c>
      <c r="E106" s="149">
        <f t="shared" si="11"/>
        <v>0</v>
      </c>
      <c r="F106" s="200">
        <f t="shared" si="12"/>
        <v>1</v>
      </c>
      <c r="G106" s="149">
        <f t="shared" si="20"/>
        <v>154</v>
      </c>
      <c r="H106" s="201">
        <f t="shared" si="21"/>
        <v>0</v>
      </c>
      <c r="I106" s="149">
        <f t="shared" si="13"/>
        <v>0</v>
      </c>
      <c r="J106" s="200">
        <f t="shared" si="14"/>
        <v>1</v>
      </c>
      <c r="K106" s="200">
        <f t="shared" si="15"/>
        <v>1</v>
      </c>
      <c r="L106" s="200">
        <f t="shared" si="16"/>
        <v>0</v>
      </c>
      <c r="P106" s="198">
        <v>99</v>
      </c>
      <c r="Q106" s="198">
        <v>0.466667</v>
      </c>
      <c r="R106" s="198">
        <v>0.37837799999999999</v>
      </c>
      <c r="S106" s="198">
        <v>1435</v>
      </c>
      <c r="T106" s="198">
        <v>543</v>
      </c>
      <c r="U106" s="198">
        <v>1.93</v>
      </c>
      <c r="V106" s="198"/>
      <c r="W106" s="198">
        <v>99</v>
      </c>
      <c r="X106" s="198">
        <v>0.38858300000000001</v>
      </c>
      <c r="Y106" s="198">
        <v>0.32536700000000002</v>
      </c>
      <c r="Z106" s="198">
        <v>3570.3</v>
      </c>
      <c r="AA106" s="198">
        <v>1161.5999999999999</v>
      </c>
      <c r="AB106" s="198">
        <v>2.2400000000000002</v>
      </c>
    </row>
    <row r="107" spans="2:28" x14ac:dyDescent="0.3">
      <c r="B107" s="149">
        <f t="shared" si="17"/>
        <v>95</v>
      </c>
      <c r="C107" s="149">
        <f t="shared" si="18"/>
        <v>155</v>
      </c>
      <c r="D107" s="201">
        <f t="shared" si="19"/>
        <v>0</v>
      </c>
      <c r="E107" s="149">
        <f t="shared" si="11"/>
        <v>0</v>
      </c>
      <c r="F107" s="200">
        <f t="shared" si="12"/>
        <v>1</v>
      </c>
      <c r="G107" s="149">
        <f t="shared" si="20"/>
        <v>155</v>
      </c>
      <c r="H107" s="201">
        <f t="shared" si="21"/>
        <v>0</v>
      </c>
      <c r="I107" s="149">
        <f t="shared" si="13"/>
        <v>0</v>
      </c>
      <c r="J107" s="200">
        <f t="shared" si="14"/>
        <v>1</v>
      </c>
      <c r="K107" s="200">
        <f t="shared" si="15"/>
        <v>1</v>
      </c>
      <c r="L107" s="200">
        <f t="shared" si="16"/>
        <v>0</v>
      </c>
      <c r="P107" s="198">
        <v>100</v>
      </c>
      <c r="Q107" s="198">
        <v>0.50305999999999995</v>
      </c>
      <c r="R107" s="198">
        <v>0.40195599999999998</v>
      </c>
      <c r="S107" s="198">
        <v>892</v>
      </c>
      <c r="T107" s="198">
        <v>358.5</v>
      </c>
      <c r="U107" s="198">
        <v>1.8</v>
      </c>
      <c r="V107" s="198"/>
      <c r="W107" s="198">
        <v>100</v>
      </c>
      <c r="X107" s="198">
        <v>0.43157000000000001</v>
      </c>
      <c r="Y107" s="198">
        <v>0.35497200000000001</v>
      </c>
      <c r="Z107" s="198">
        <v>2408.6</v>
      </c>
      <c r="AA107" s="198">
        <v>855</v>
      </c>
      <c r="AB107" s="198">
        <v>2.08</v>
      </c>
    </row>
    <row r="108" spans="2:28" x14ac:dyDescent="0.3">
      <c r="B108" s="149">
        <f t="shared" si="17"/>
        <v>96</v>
      </c>
      <c r="C108" s="149">
        <f t="shared" si="18"/>
        <v>156</v>
      </c>
      <c r="D108" s="201">
        <f t="shared" si="19"/>
        <v>0</v>
      </c>
      <c r="E108" s="149">
        <f t="shared" si="11"/>
        <v>0</v>
      </c>
      <c r="F108" s="200">
        <f t="shared" si="12"/>
        <v>1</v>
      </c>
      <c r="G108" s="149">
        <f t="shared" si="20"/>
        <v>156</v>
      </c>
      <c r="H108" s="201">
        <f t="shared" si="21"/>
        <v>0</v>
      </c>
      <c r="I108" s="149">
        <f t="shared" si="13"/>
        <v>0</v>
      </c>
      <c r="J108" s="200">
        <f t="shared" si="14"/>
        <v>1</v>
      </c>
      <c r="K108" s="200">
        <f t="shared" si="15"/>
        <v>1</v>
      </c>
      <c r="L108" s="200">
        <f t="shared" si="16"/>
        <v>0</v>
      </c>
    </row>
    <row r="109" spans="2:28" x14ac:dyDescent="0.3">
      <c r="B109" s="149">
        <f t="shared" si="17"/>
        <v>97</v>
      </c>
      <c r="C109" s="149">
        <f t="shared" si="18"/>
        <v>157</v>
      </c>
      <c r="D109" s="201">
        <f t="shared" si="19"/>
        <v>0</v>
      </c>
      <c r="E109" s="149">
        <f t="shared" si="11"/>
        <v>0</v>
      </c>
      <c r="F109" s="200">
        <f t="shared" si="12"/>
        <v>1</v>
      </c>
      <c r="G109" s="149">
        <f t="shared" si="20"/>
        <v>157</v>
      </c>
      <c r="H109" s="201">
        <f t="shared" si="21"/>
        <v>0</v>
      </c>
      <c r="I109" s="149">
        <f t="shared" si="13"/>
        <v>0</v>
      </c>
      <c r="J109" s="200">
        <f t="shared" si="14"/>
        <v>1</v>
      </c>
      <c r="K109" s="200">
        <f t="shared" si="15"/>
        <v>1</v>
      </c>
      <c r="L109" s="200">
        <f t="shared" si="16"/>
        <v>0</v>
      </c>
    </row>
  </sheetData>
  <hyperlinks>
    <hyperlink ref="L1" r:id="rId1" display="https://www.ons.gov.uk/peoplepopulationandcommunity/birthsdeathsandmarriages/lifeexpectancies/datasets/nationallifetablesunitedkingdomreferencetables" xr:uid="{83F49C32-F821-4E25-9ACB-6299366ADD6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ED91A-CA94-4BC7-ACCA-B76523E9C48C}">
  <sheetPr codeName="Sheet3"/>
  <dimension ref="A1:L2"/>
  <sheetViews>
    <sheetView workbookViewId="0">
      <selection sqref="A1:XFD1048576"/>
    </sheetView>
  </sheetViews>
  <sheetFormatPr defaultColWidth="9.109375" defaultRowHeight="14.4" x14ac:dyDescent="0.3"/>
  <cols>
    <col min="1" max="1" width="23.33203125" style="5" customWidth="1"/>
    <col min="2" max="2" width="61.6640625" style="5" customWidth="1"/>
    <col min="3" max="3" width="36.6640625" style="5" customWidth="1"/>
    <col min="4" max="4" width="15.33203125" style="5" customWidth="1"/>
    <col min="5" max="16384" width="9.109375" style="5"/>
  </cols>
  <sheetData>
    <row r="1" spans="1:12" x14ac:dyDescent="0.3">
      <c r="A1" s="151" t="s">
        <v>181</v>
      </c>
      <c r="B1" s="151" t="s">
        <v>182</v>
      </c>
      <c r="C1" s="183" t="s">
        <v>183</v>
      </c>
      <c r="D1" s="151" t="s">
        <v>184</v>
      </c>
      <c r="L1" s="237" t="str" cm="1">
        <f t="array" aca="1" ref="L1" ca="1">_xlfn.TEXTBEFORE(CELL("filename"), "]")&amp; "]"</f>
        <v>N:\Product Management\Platform\Projects\2023-03 Pathfinder Replacement\Roddy Tool\[251008 Estate Planning.xlsx]</v>
      </c>
    </row>
    <row r="2" spans="1:12" ht="43.2" x14ac:dyDescent="0.3">
      <c r="A2" s="238">
        <v>45909</v>
      </c>
      <c r="B2" s="239" t="s">
        <v>192</v>
      </c>
      <c r="C2" s="239" t="s">
        <v>185</v>
      </c>
      <c r="D2" s="5" t="s">
        <v>186</v>
      </c>
      <c r="L2" s="23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8F85B-F1D9-4CE4-BD87-BF308BFFF094}">
  <sheetPr codeName="Sheet2"/>
  <dimension ref="A2:B4"/>
  <sheetViews>
    <sheetView workbookViewId="0">
      <selection sqref="A1:XFD1048576"/>
    </sheetView>
  </sheetViews>
  <sheetFormatPr defaultColWidth="9.109375" defaultRowHeight="14.4" x14ac:dyDescent="0.3"/>
  <cols>
    <col min="1" max="1" width="10.5546875" style="5" bestFit="1" customWidth="1"/>
    <col min="2" max="16384" width="9.109375" style="5"/>
  </cols>
  <sheetData>
    <row r="2" spans="1:2" x14ac:dyDescent="0.3">
      <c r="A2" s="236">
        <v>45896</v>
      </c>
      <c r="B2" s="5" t="s">
        <v>187</v>
      </c>
    </row>
    <row r="3" spans="1:2" x14ac:dyDescent="0.3">
      <c r="B3" s="5" t="s">
        <v>188</v>
      </c>
    </row>
    <row r="4" spans="1:2" x14ac:dyDescent="0.3">
      <c r="B4" s="5" t="s">
        <v>189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5af36068-5cc4-4b02-ae5c-59b5f1c77fd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FB24B1D18DBA24CB625C7990CF6B79C" ma:contentTypeVersion="15" ma:contentTypeDescription="Create a new document." ma:contentTypeScope="" ma:versionID="9fa2ad57b7728a439ccd84766c2ae490">
  <xsd:schema xmlns:xsd="http://www.w3.org/2001/XMLSchema" xmlns:xs="http://www.w3.org/2001/XMLSchema" xmlns:p="http://schemas.microsoft.com/office/2006/metadata/properties" xmlns:ns3="5af36068-5cc4-4b02-ae5c-59b5f1c77fda" xmlns:ns4="17cada5f-5d01-46f7-a748-3be72723398f" targetNamespace="http://schemas.microsoft.com/office/2006/metadata/properties" ma:root="true" ma:fieldsID="2bfb303302d3368f325d01c4a1cabaf4" ns3:_="" ns4:_="">
    <xsd:import namespace="5af36068-5cc4-4b02-ae5c-59b5f1c77fda"/>
    <xsd:import namespace="17cada5f-5d01-46f7-a748-3be72723398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_activity" minOccurs="0"/>
                <xsd:element ref="ns4:SharedWithUsers" minOccurs="0"/>
                <xsd:element ref="ns4:SharedWithDetails" minOccurs="0"/>
                <xsd:element ref="ns4:SharingHintHash" minOccurs="0"/>
                <xsd:element ref="ns3:MediaServiceObjectDetectorVersions" minOccurs="0"/>
                <xsd:element ref="ns3:MediaServiceSearchProperties" minOccurs="0"/>
                <xsd:element ref="ns3:MediaServiceSystemTag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f36068-5cc4-4b02-ae5c-59b5f1c77f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_activity" ma:index="15"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SystemTags" ma:index="21" nillable="true" ma:displayName="MediaServiceSystemTags" ma:hidden="true" ma:internalName="MediaServiceSystemTag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7cada5f-5d01-46f7-a748-3be72723398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77D99F-EE58-4DE0-BB27-C3A8F4168061}">
  <ds:schemaRefs>
    <ds:schemaRef ds:uri="http://schemas.microsoft.com/sharepoint/v3/contenttype/forms"/>
  </ds:schemaRefs>
</ds:datastoreItem>
</file>

<file path=customXml/itemProps2.xml><?xml version="1.0" encoding="utf-8"?>
<ds:datastoreItem xmlns:ds="http://schemas.openxmlformats.org/officeDocument/2006/customXml" ds:itemID="{FFCC619E-6725-405A-96F0-87759BA75EAA}">
  <ds:schemaRefs>
    <ds:schemaRef ds:uri="http://purl.org/dc/elements/1.1/"/>
    <ds:schemaRef ds:uri="http://purl.org/dc/dcmitype/"/>
    <ds:schemaRef ds:uri="http://schemas.openxmlformats.org/package/2006/metadata/core-properties"/>
    <ds:schemaRef ds:uri="http://schemas.microsoft.com/office/infopath/2007/PartnerControls"/>
    <ds:schemaRef ds:uri="http://schemas.microsoft.com/office/2006/metadata/properties"/>
    <ds:schemaRef ds:uri="http://schemas.microsoft.com/office/2006/documentManagement/types"/>
    <ds:schemaRef ds:uri="http://purl.org/dc/terms/"/>
    <ds:schemaRef ds:uri="17cada5f-5d01-46f7-a748-3be72723398f"/>
    <ds:schemaRef ds:uri="5af36068-5cc4-4b02-ae5c-59b5f1c77fda"/>
    <ds:schemaRef ds:uri="http://www.w3.org/XML/1998/namespace"/>
  </ds:schemaRefs>
</ds:datastoreItem>
</file>

<file path=customXml/itemProps3.xml><?xml version="1.0" encoding="utf-8"?>
<ds:datastoreItem xmlns:ds="http://schemas.openxmlformats.org/officeDocument/2006/customXml" ds:itemID="{769F4A0B-B098-4FC3-A480-9139D626AC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f36068-5cc4-4b02-ae5c-59b5f1c77fda"/>
    <ds:schemaRef ds:uri="17cada5f-5d01-46f7-a748-3be7272339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56</vt:i4>
      </vt:variant>
    </vt:vector>
  </HeadingPairs>
  <TitlesOfParts>
    <vt:vector size="63" baseType="lpstr">
      <vt:lpstr>Intro</vt:lpstr>
      <vt:lpstr>Calcs</vt:lpstr>
      <vt:lpstr>Tax</vt:lpstr>
      <vt:lpstr>Working</vt:lpstr>
      <vt:lpstr>ONS</vt:lpstr>
      <vt:lpstr>Version Control</vt:lpstr>
      <vt:lpstr>Todo </vt:lpstr>
      <vt:lpstr>BondGain</vt:lpstr>
      <vt:lpstr>Cashgrowth</vt:lpstr>
      <vt:lpstr>CashVal</vt:lpstr>
      <vt:lpstr>CIAVal</vt:lpstr>
      <vt:lpstr>CIBVal</vt:lpstr>
      <vt:lpstr>CPI</vt:lpstr>
      <vt:lpstr>Gender1</vt:lpstr>
      <vt:lpstr>Gender2</vt:lpstr>
      <vt:lpstr>GrsGrth</vt:lpstr>
      <vt:lpstr>Housegrowth</vt:lpstr>
      <vt:lpstr>HouseVal</vt:lpstr>
      <vt:lpstr>IHT</vt:lpstr>
      <vt:lpstr>IHTinflateyr</vt:lpstr>
      <vt:lpstr>ISAval</vt:lpstr>
      <vt:lpstr>L1Delay</vt:lpstr>
      <vt:lpstr>L1INC</vt:lpstr>
      <vt:lpstr>L1INCP</vt:lpstr>
      <vt:lpstr>L1PCLS</vt:lpstr>
      <vt:lpstr>L1PenVal</vt:lpstr>
      <vt:lpstr>L1WD</vt:lpstr>
      <vt:lpstr>L2Delay</vt:lpstr>
      <vt:lpstr>L2INC</vt:lpstr>
      <vt:lpstr>L2INCP</vt:lpstr>
      <vt:lpstr>L2PCLS</vt:lpstr>
      <vt:lpstr>L2PenVal</vt:lpstr>
      <vt:lpstr>L2WD</vt:lpstr>
      <vt:lpstr>Life1Age</vt:lpstr>
      <vt:lpstr>Life2Age</vt:lpstr>
      <vt:lpstr>LifeExpect</vt:lpstr>
      <vt:lpstr>Lineal</vt:lpstr>
      <vt:lpstr>NetGrth</vt:lpstr>
      <vt:lpstr>NRB</vt:lpstr>
      <vt:lpstr>OtherVal</vt:lpstr>
      <vt:lpstr>OWrite</vt:lpstr>
      <vt:lpstr>Prefterm</vt:lpstr>
      <vt:lpstr>Calcs!Print_Area</vt:lpstr>
      <vt:lpstr>ProjTerm</vt:lpstr>
      <vt:lpstr>REF</vt:lpstr>
      <vt:lpstr>RNRB</vt:lpstr>
      <vt:lpstr>RNRBTaper</vt:lpstr>
      <vt:lpstr>SAR</vt:lpstr>
      <vt:lpstr>Sart</vt:lpstr>
      <vt:lpstr>SBR</vt:lpstr>
      <vt:lpstr>SBRT</vt:lpstr>
      <vt:lpstr>SCIT</vt:lpstr>
      <vt:lpstr>SHR</vt:lpstr>
      <vt:lpstr>SHRT</vt:lpstr>
      <vt:lpstr>SingJt</vt:lpstr>
      <vt:lpstr>SIR</vt:lpstr>
      <vt:lpstr>SIRT</vt:lpstr>
      <vt:lpstr>SPA</vt:lpstr>
      <vt:lpstr>SSR</vt:lpstr>
      <vt:lpstr>SSRT</vt:lpstr>
      <vt:lpstr>STAP</vt:lpstr>
      <vt:lpstr>STRT</vt:lpstr>
      <vt:lpstr>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Smith, Gary</dc:creator>
  <cp:keywords/>
  <dc:description/>
  <cp:lastModifiedBy>Smith, Gary</cp:lastModifiedBy>
  <cp:revision/>
  <cp:lastPrinted>2025-09-18T11:24:36Z</cp:lastPrinted>
  <dcterms:created xsi:type="dcterms:W3CDTF">2025-06-04T14:53:59Z</dcterms:created>
  <dcterms:modified xsi:type="dcterms:W3CDTF">2025-10-08T15:20:46Z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5e970df-f2ff-4293-ae1d-a92363a14834_Enabled">
    <vt:lpwstr>true</vt:lpwstr>
  </property>
  <property fmtid="{D5CDD505-2E9C-101B-9397-08002B2CF9AE}" pid="3" name="MSIP_Label_c5e970df-f2ff-4293-ae1d-a92363a14834_SetDate">
    <vt:lpwstr>2025-06-04T14:55:11Z</vt:lpwstr>
  </property>
  <property fmtid="{D5CDD505-2E9C-101B-9397-08002B2CF9AE}" pid="4" name="MSIP_Label_c5e970df-f2ff-4293-ae1d-a92363a14834_Method">
    <vt:lpwstr>Privileged</vt:lpwstr>
  </property>
  <property fmtid="{D5CDD505-2E9C-101B-9397-08002B2CF9AE}" pid="5" name="MSIP_Label_c5e970df-f2ff-4293-ae1d-a92363a14834_Name">
    <vt:lpwstr>c5e970df-f2ff-4293-ae1d-a92363a14834</vt:lpwstr>
  </property>
  <property fmtid="{D5CDD505-2E9C-101B-9397-08002B2CF9AE}" pid="6" name="MSIP_Label_c5e970df-f2ff-4293-ae1d-a92363a14834_SiteId">
    <vt:lpwstr>0c5bd621-4db2-45d4-92c6-94708f93fa6e</vt:lpwstr>
  </property>
  <property fmtid="{D5CDD505-2E9C-101B-9397-08002B2CF9AE}" pid="7" name="MSIP_Label_c5e970df-f2ff-4293-ae1d-a92363a14834_ActionId">
    <vt:lpwstr>725e7323-f2f0-4b11-8e8d-c3075b452ffb</vt:lpwstr>
  </property>
  <property fmtid="{D5CDD505-2E9C-101B-9397-08002B2CF9AE}" pid="8" name="MSIP_Label_c5e970df-f2ff-4293-ae1d-a92363a14834_ContentBits">
    <vt:lpwstr>2</vt:lpwstr>
  </property>
  <property fmtid="{D5CDD505-2E9C-101B-9397-08002B2CF9AE}" pid="9" name="MSIP_Label_c5e970df-f2ff-4293-ae1d-a92363a14834_Tag">
    <vt:lpwstr>10, 0, 1, 1</vt:lpwstr>
  </property>
  <property fmtid="{D5CDD505-2E9C-101B-9397-08002B2CF9AE}" pid="10" name="ContentTypeId">
    <vt:lpwstr>0x0101002FB24B1D18DBA24CB625C7990CF6B79C</vt:lpwstr>
  </property>
</Properties>
</file>