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defaultThemeVersion="124226"/>
  <mc:AlternateContent xmlns:mc="http://schemas.openxmlformats.org/markup-compatibility/2006">
    <mc:Choice Requires="x15">
      <x15ac:absPath xmlns:x15ac="http://schemas.microsoft.com/office/spreadsheetml/2010/11/ac" url="N:\Technica\UK Life &amp; Investments\Disc trust IHT calculator\"/>
    </mc:Choice>
  </mc:AlternateContent>
  <xr:revisionPtr revIDLastSave="0" documentId="13_ncr:1_{2350C7E8-7528-4B6F-AFD3-7DB507AD1FC5}" xr6:coauthVersionLast="47" xr6:coauthVersionMax="47" xr10:uidLastSave="{00000000-0000-0000-0000-000000000000}"/>
  <workbookProtection workbookAlgorithmName="SHA-512" workbookHashValue="FVAdHFooYMmWPb1+cfSeeWM3Zv92Q44d1SET4vgt3OPVJoouRCy8FrjruJZ9nTBfjEogURgFiMPbw9C8al+isA==" workbookSaltValue="By/LnnuwWLWSAWtsjj+xQw==" workbookSpinCount="100000" lockStructure="1"/>
  <bookViews>
    <workbookView showSheetTabs="0" xWindow="-120" yWindow="-120" windowWidth="29040" windowHeight="15720" xr2:uid="{00000000-000D-0000-FFFF-FFFF00000000}"/>
  </bookViews>
  <sheets>
    <sheet name="Menu" sheetId="3" r:id="rId1"/>
    <sheet name="Entry charge" sheetId="2" r:id="rId2"/>
    <sheet name="10 yr charge" sheetId="1" r:id="rId3"/>
    <sheet name="Rysaffe summary" sheetId="10" r:id="rId4"/>
    <sheet name="Rysaffe breakdown" sheetId="8" r:id="rId5"/>
    <sheet name="Exit pre 10 yr" sheetId="4" r:id="rId6"/>
    <sheet name="Exits post 10 yr" sheetId="6" r:id="rId7"/>
    <sheet name="Print screen" sheetId="5" r:id="rId8"/>
    <sheet name="Lists" sheetId="9" state="hidden" r:id="rId9"/>
    <sheet name="Control sheet" sheetId="7" state="hidden" r:id="rId10"/>
  </sheets>
  <definedNames>
    <definedName name="act_exit">'Exit pre 10 yr'!$G$22</definedName>
    <definedName name="act_rate" localSheetId="4">'Rysaffe breakdown'!$G$21</definedName>
    <definedName name="act_rate" localSheetId="3">'Rysaffe summary'!#REF!</definedName>
    <definedName name="act_rate">'10 yr charge'!$G$20</definedName>
    <definedName name="act_rate1" localSheetId="3">'Rysaffe summary'!#REF!</definedName>
    <definedName name="act_rate1">'Rysaffe breakdown'!$G$40</definedName>
    <definedName name="act_rate2" localSheetId="3">'Rysaffe summary'!#REF!</definedName>
    <definedName name="act_rate2">'Rysaffe breakdown'!$G$53</definedName>
    <definedName name="act_rate3" localSheetId="3">'Rysaffe summary'!#REF!</definedName>
    <definedName name="act_rate3">'Rysaffe breakdown'!$G$66</definedName>
    <definedName name="act_rate4" localSheetId="3">'Rysaffe summary'!#REF!</definedName>
    <definedName name="act_rate4">'Rysaffe breakdown'!$G$79</definedName>
    <definedName name="avail_nrb_exit">'Exit pre 10 yr'!$G$17</definedName>
    <definedName name="comp_qs">'Exit pre 10 yr'!$G$14</definedName>
    <definedName name="current_NRB_10" localSheetId="4">'Rysaffe breakdown'!$G$14</definedName>
    <definedName name="current_NRB_10" localSheetId="3">'Rysaffe summary'!$G$14</definedName>
    <definedName name="current_NRB_10">'10 yr charge'!$G$11</definedName>
    <definedName name="difference" localSheetId="4">'Rysaffe breakdown'!$D$19</definedName>
    <definedName name="difference" localSheetId="3">'Rysaffe summary'!#REF!</definedName>
    <definedName name="difference">'10 yr charge'!$D$17</definedName>
    <definedName name="difference_1" localSheetId="3">'Rysaffe summary'!#REF!</definedName>
    <definedName name="difference_1">'Rysaffe breakdown'!$D$38</definedName>
    <definedName name="difference_2" localSheetId="3">'Rysaffe summary'!#REF!</definedName>
    <definedName name="difference_2">'Rysaffe breakdown'!$D$51</definedName>
    <definedName name="difference_3" localSheetId="3">'Rysaffe summary'!#REF!</definedName>
    <definedName name="difference_3">'Rysaffe breakdown'!$D$64</definedName>
    <definedName name="difference_4" localSheetId="3">'Rysaffe summary'!#REF!</definedName>
    <definedName name="difference_4">'Rysaffe breakdown'!$D$77</definedName>
    <definedName name="difference_exit">'Exit pre 10 yr'!$D$19</definedName>
    <definedName name="distribution_exit_10">'Exit pre 10 yr'!$D$24</definedName>
    <definedName name="distribution_tenplus">'Exits post 10 yr'!$D$12</definedName>
    <definedName name="distributions" localSheetId="4">'Rysaffe breakdown'!#REF!</definedName>
    <definedName name="distributions" localSheetId="3">'Rysaffe summary'!#REF!</definedName>
    <definedName name="distributions">'10 yr charge'!$G$13</definedName>
    <definedName name="Eff_exit">'Exit pre 10 yr'!$D$22</definedName>
    <definedName name="eff_rate" localSheetId="4">'Rysaffe breakdown'!$D$21</definedName>
    <definedName name="eff_rate" localSheetId="3">'Rysaffe summary'!#REF!</definedName>
    <definedName name="eff_rate">'10 yr charge'!$D$20</definedName>
    <definedName name="eff_rate1" localSheetId="3">'Rysaffe summary'!#REF!</definedName>
    <definedName name="eff_rate1">'Rysaffe breakdown'!$D$40</definedName>
    <definedName name="eff_rate2" localSheetId="3">'Rysaffe summary'!#REF!</definedName>
    <definedName name="eff_rate2">'Rysaffe breakdown'!$D$53</definedName>
    <definedName name="eff_rate3" localSheetId="3">'Rysaffe summary'!#REF!</definedName>
    <definedName name="eff_rate3">'Rysaffe breakdown'!$D$66</definedName>
    <definedName name="eff_rate4" localSheetId="3">'Rysaffe summary'!#REF!</definedName>
    <definedName name="eff_rate4">'Rysaffe breakdown'!$D$79</definedName>
    <definedName name="exempt">'Entry charge'!$G$12</definedName>
    <definedName name="Gift_entry">'Entry charge'!$D$11</definedName>
    <definedName name="GIFT_LOAN">'Rysaffe summary'!$D$8</definedName>
    <definedName name="infl_assum">'Rysaffe summary'!$D$10</definedName>
    <definedName name="Initial_gift" localSheetId="3">'Rysaffe summary'!$D$9</definedName>
    <definedName name="Initial_gift">'Rysaffe breakdown'!$D$8</definedName>
    <definedName name="Initial_type">Lists!$C$2:$C$3</definedName>
    <definedName name="Loan_1">'Rysaffe breakdown'!$D$34</definedName>
    <definedName name="Loan_2">'Rysaffe breakdown'!$D$47</definedName>
    <definedName name="Loan_3">'Rysaffe breakdown'!$D$60</definedName>
    <definedName name="Loan_4">'Rysaffe breakdown'!$D$73</definedName>
    <definedName name="Loan_sgl">'Rysaffe breakdown'!$D$15</definedName>
    <definedName name="Multiple_ttl">'Rysaffe breakdown'!$D$30</definedName>
    <definedName name="No.of_tr" localSheetId="3">'Rysaffe summary'!$G$22</definedName>
    <definedName name="No.of_tr">'Rysaffe breakdown'!$G$28</definedName>
    <definedName name="notional" localSheetId="4">'Rysaffe breakdown'!$D$17</definedName>
    <definedName name="notional" localSheetId="3">'Rysaffe summary'!#REF!</definedName>
    <definedName name="notional">'10 yr charge'!$D$15</definedName>
    <definedName name="notional_1" localSheetId="3">'Rysaffe summary'!#REF!</definedName>
    <definedName name="notional_1">'Rysaffe breakdown'!$D$36</definedName>
    <definedName name="notional_2" localSheetId="3">'Rysaffe summary'!#REF!</definedName>
    <definedName name="notional_2">'Rysaffe breakdown'!$D$49</definedName>
    <definedName name="notional_3" localSheetId="3">'Rysaffe summary'!#REF!</definedName>
    <definedName name="notional_3">'Rysaffe breakdown'!$D$62</definedName>
    <definedName name="notional_4" localSheetId="3">'Rysaffe summary'!#REF!</definedName>
    <definedName name="notional_4">'Rysaffe breakdown'!$D$75</definedName>
    <definedName name="notional_exit">'Exit pre 10 yr'!$D$17</definedName>
    <definedName name="notional_IHT" localSheetId="4">'Rysaffe breakdown'!$G$19</definedName>
    <definedName name="notional_IHT" localSheetId="3">'Rysaffe summary'!#REF!</definedName>
    <definedName name="notional_IHT">'10 yr charge'!$G$17</definedName>
    <definedName name="Notional_IHT1" localSheetId="3">'Rysaffe summary'!#REF!</definedName>
    <definedName name="Notional_IHT1">'Rysaffe breakdown'!$G$38</definedName>
    <definedName name="Notional_IHT2" localSheetId="3">'Rysaffe summary'!#REF!</definedName>
    <definedName name="Notional_IHT2">'Rysaffe breakdown'!$G$51</definedName>
    <definedName name="Notional_IHT3" localSheetId="3">'Rysaffe summary'!#REF!</definedName>
    <definedName name="Notional_IHT3">'Rysaffe breakdown'!$G$64</definedName>
    <definedName name="Notional_IHT4" localSheetId="3">'Rysaffe summary'!#REF!</definedName>
    <definedName name="Notional_IHT4">'Rysaffe breakdown'!$G$77</definedName>
    <definedName name="nrb_10" localSheetId="4">'Rysaffe breakdown'!$G$17</definedName>
    <definedName name="nrb_10" localSheetId="3">'Rysaffe summary'!#REF!</definedName>
    <definedName name="nrb_10">'10 yr charge'!$G$15</definedName>
    <definedName name="nrb_entry">'Entry charge'!$G$11</definedName>
    <definedName name="NRB_exit">'Exit pre 10 yr'!$G$12</definedName>
    <definedName name="NRB_tr_1" localSheetId="3">'Rysaffe summary'!#REF!</definedName>
    <definedName name="NRB_tr_1">'Rysaffe breakdown'!$G$36</definedName>
    <definedName name="NRB_tr_2" localSheetId="3">'Rysaffe summary'!#REF!</definedName>
    <definedName name="NRB_tr_2">'Rysaffe breakdown'!$G$49</definedName>
    <definedName name="NRB_tr_3" localSheetId="3">'Rysaffe summary'!#REF!</definedName>
    <definedName name="NRB_tr_3">'Rysaffe breakdown'!$G$62</definedName>
    <definedName name="NRB_tr_4" localSheetId="3">'Rysaffe summary'!#REF!</definedName>
    <definedName name="NRB_tr_4">'Rysaffe breakdown'!$G$75</definedName>
    <definedName name="post_10_act">'Exits post 10 yr'!$D$13</definedName>
    <definedName name="pre_CLT_exit">'Exit pre 10 yr'!$G$13</definedName>
    <definedName name="pre_gifts_entry">'Entry charge'!$D$12</definedName>
    <definedName name="previous_transfers_10" localSheetId="4">'Rysaffe breakdown'!$G$15</definedName>
    <definedName name="previous_transfers_10" localSheetId="3">'Rysaffe summary'!$G$15</definedName>
    <definedName name="previous_transfers_10">'10 yr charge'!$G$12</definedName>
    <definedName name="_xlnm.Print_Area" localSheetId="5">'Exit pre 10 yr'!$B$2:$J$40</definedName>
    <definedName name="_xlnm.Print_Area" localSheetId="6">'Exits post 10 yr'!$B$2:$J$36</definedName>
    <definedName name="_xlnm.Print_Area" localSheetId="7">'Print screen'!$B$2:$I$40</definedName>
    <definedName name="projection_term" localSheetId="3">'Rysaffe summary'!$G$10</definedName>
    <definedName name="projection_term">'Rysaffe breakdown'!$G$9</definedName>
    <definedName name="return" localSheetId="3">'Rysaffe summary'!$G$9</definedName>
    <definedName name="return">'Rysaffe breakdown'!$G$8</definedName>
    <definedName name="ten_years">Lists!$A$2:$A$6</definedName>
    <definedName name="ten_yr_tax" localSheetId="4">'Rysaffe breakdown'!$D$24</definedName>
    <definedName name="ten_yr_tax" localSheetId="3">'Rysaffe summary'!$D$18</definedName>
    <definedName name="ten_yr_tax">'10 yr charge'!$D$23</definedName>
    <definedName name="ten_yr_tax1" localSheetId="3">'Rysaffe summary'!#REF!</definedName>
    <definedName name="ten_yr_tax1">'Rysaffe breakdown'!$D$42</definedName>
    <definedName name="ten_yr_tax2" localSheetId="3">'Rysaffe summary'!#REF!</definedName>
    <definedName name="ten_yr_tax2">'Rysaffe breakdown'!$D$55</definedName>
    <definedName name="ten_yr_tax3" localSheetId="3">'Rysaffe summary'!#REF!</definedName>
    <definedName name="ten_yr_tax3">'Rysaffe breakdown'!$D$68</definedName>
    <definedName name="ten_yr_tax4" localSheetId="3">'Rysaffe summary'!#REF!</definedName>
    <definedName name="ten_yr_tax4">'Rysaffe breakdown'!$D$81</definedName>
    <definedName name="Value_10" localSheetId="4">'Rysaffe breakdown'!$D$14</definedName>
    <definedName name="Value_10" localSheetId="3">'Rysaffe summary'!$D$14</definedName>
    <definedName name="Value_10">'10 yr charge'!$D$11</definedName>
    <definedName name="value_10_1" localSheetId="3">'Rysaffe summary'!#REF!</definedName>
    <definedName name="value_10_1">'Rysaffe breakdown'!$D$33</definedName>
    <definedName name="value_10_2" localSheetId="3">'Rysaffe summary'!#REF!</definedName>
    <definedName name="value_10_2">'Rysaffe breakdown'!$D$46</definedName>
    <definedName name="value_10_3" localSheetId="3">'Rysaffe summary'!#REF!</definedName>
    <definedName name="value_10_3">'Rysaffe breakdown'!$D$59</definedName>
    <definedName name="value_10_4" localSheetId="3">'Rysaffe summary'!#REF!</definedName>
    <definedName name="value_10_4">'Rysaffe breakdown'!$D$72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 i="8" l="1"/>
  <c r="D15" i="10"/>
  <c r="C37" i="9" l="1"/>
  <c r="C38" i="9" s="1"/>
  <c r="C39" i="9" s="1"/>
  <c r="C40" i="9" s="1"/>
  <c r="C41" i="9" s="1"/>
  <c r="C42" i="9" s="1"/>
  <c r="C43" i="9" s="1"/>
  <c r="C44" i="9" s="1"/>
  <c r="C45" i="9" s="1"/>
  <c r="C46" i="9" s="1"/>
  <c r="C47" i="9" s="1"/>
  <c r="C48" i="9" s="1"/>
  <c r="C49" i="9" s="1"/>
  <c r="C50" i="9" s="1"/>
  <c r="C51" i="9" s="1"/>
  <c r="C52" i="9" s="1"/>
  <c r="C53" i="9" s="1"/>
  <c r="C54" i="9" s="1"/>
  <c r="C55" i="9" s="1"/>
  <c r="C56" i="9" s="1"/>
  <c r="C57" i="9" s="1"/>
  <c r="C58" i="9" s="1"/>
  <c r="C59" i="9" s="1"/>
  <c r="C60" i="9" s="1"/>
  <c r="C61" i="9" s="1"/>
  <c r="C62" i="9" s="1"/>
  <c r="C63" i="9" s="1"/>
  <c r="C64" i="9" s="1"/>
  <c r="C65" i="9" s="1"/>
  <c r="C66" i="9" s="1"/>
  <c r="C67" i="9" s="1"/>
  <c r="C68" i="9" s="1"/>
  <c r="C69" i="9" s="1"/>
  <c r="C70" i="9" s="1"/>
  <c r="C71" i="9" s="1"/>
  <c r="C72" i="9" s="1"/>
  <c r="C73" i="9" s="1"/>
  <c r="C74" i="9" s="1"/>
  <c r="C75" i="9" s="1"/>
  <c r="C76" i="9" s="1"/>
  <c r="C77" i="9" s="1"/>
  <c r="C78" i="9" s="1"/>
  <c r="C79" i="9" s="1"/>
  <c r="C80" i="9" s="1"/>
  <c r="C81" i="9" s="1"/>
  <c r="C82" i="9" s="1"/>
  <c r="C83" i="9" s="1"/>
  <c r="C84" i="9" s="1"/>
  <c r="C85" i="9" s="1"/>
  <c r="C86" i="9" s="1"/>
  <c r="C87" i="9" s="1"/>
  <c r="C88" i="9" s="1"/>
  <c r="C89" i="9" s="1"/>
  <c r="C90" i="9" s="1"/>
  <c r="C91" i="9" s="1"/>
  <c r="C92" i="9" s="1"/>
  <c r="C93" i="9" s="1"/>
  <c r="C94" i="9" s="1"/>
  <c r="C95" i="9" s="1"/>
  <c r="C96" i="9" s="1"/>
  <c r="C97" i="9" s="1"/>
  <c r="C98" i="9" s="1"/>
  <c r="C99" i="9" s="1"/>
  <c r="C100" i="9" s="1"/>
  <c r="C101" i="9" s="1"/>
  <c r="C102" i="9" s="1"/>
  <c r="C103" i="9" s="1"/>
  <c r="C104" i="9" s="1"/>
  <c r="C105" i="9" s="1"/>
  <c r="I10" i="10"/>
  <c r="I11" i="10" s="1"/>
  <c r="G14" i="10" l="1" a="1"/>
  <c r="G14" i="10" s="1"/>
  <c r="G14" i="8" l="1"/>
  <c r="G15" i="8"/>
  <c r="G28" i="8"/>
  <c r="G9" i="8"/>
  <c r="G8" i="8"/>
  <c r="D8" i="8"/>
  <c r="D15" i="8" s="1"/>
  <c r="D14" i="10"/>
  <c r="D35" i="5"/>
  <c r="D27" i="5"/>
  <c r="D26" i="5"/>
  <c r="D25" i="5"/>
  <c r="D22" i="5"/>
  <c r="D15" i="5"/>
  <c r="D14" i="5"/>
  <c r="D13" i="5"/>
  <c r="D12" i="5"/>
  <c r="D37" i="5"/>
  <c r="G17" i="4"/>
  <c r="D15" i="2"/>
  <c r="D16" i="2"/>
  <c r="G15" i="1"/>
  <c r="D73" i="8" l="1"/>
  <c r="D47" i="8"/>
  <c r="D34" i="8"/>
  <c r="D60" i="8"/>
  <c r="G75" i="8"/>
  <c r="G49" i="8"/>
  <c r="G62" i="8"/>
  <c r="G72" i="8"/>
  <c r="G33" i="8"/>
  <c r="G59" i="8"/>
  <c r="G46" i="8"/>
  <c r="G17" i="8"/>
  <c r="D14" i="8"/>
  <c r="D17" i="8" s="1"/>
  <c r="G34" i="8"/>
  <c r="G36" i="8"/>
  <c r="G47" i="8"/>
  <c r="D17" i="4"/>
  <c r="D19" i="8" l="1"/>
  <c r="G19" i="8" s="1"/>
  <c r="D21" i="8" s="1"/>
  <c r="G21" i="8" s="1"/>
  <c r="D24" i="8" s="1"/>
  <c r="D59" i="8"/>
  <c r="D33" i="8"/>
  <c r="D36" i="8" s="1"/>
  <c r="D46" i="8"/>
  <c r="D72" i="8"/>
  <c r="D19" i="4"/>
  <c r="G19" i="4" s="1"/>
  <c r="D22" i="4" s="1"/>
  <c r="G22" i="4" s="1"/>
  <c r="G25" i="4" s="1"/>
  <c r="D18" i="5"/>
  <c r="D75" i="8" l="1"/>
  <c r="D77" i="8" s="1"/>
  <c r="G77" i="8" s="1"/>
  <c r="D79" i="8" s="1"/>
  <c r="G79" i="8" s="1"/>
  <c r="D81" i="8" s="1"/>
  <c r="D49" i="8"/>
  <c r="D51" i="8" s="1"/>
  <c r="G51" i="8" s="1"/>
  <c r="D53" i="8" s="1"/>
  <c r="G53" i="8" s="1"/>
  <c r="D55" i="8" s="1"/>
  <c r="D62" i="8"/>
  <c r="D64" i="8" s="1"/>
  <c r="G64" i="8" s="1"/>
  <c r="D66" i="8" s="1"/>
  <c r="G66" i="8" s="1"/>
  <c r="D68" i="8" s="1"/>
  <c r="D18" i="10"/>
  <c r="D38" i="8"/>
  <c r="G24" i="4"/>
  <c r="D15" i="1"/>
  <c r="D17" i="1" s="1"/>
  <c r="G17" i="1" s="1"/>
  <c r="G38" i="8" l="1"/>
  <c r="D20" i="1"/>
  <c r="G20" i="1" s="1"/>
  <c r="C6" i="5"/>
  <c r="D40" i="8" l="1"/>
  <c r="D23" i="1"/>
  <c r="D30" i="5" s="1"/>
  <c r="D29" i="5"/>
  <c r="G13" i="6"/>
  <c r="G40" i="8" l="1" a="1"/>
  <c r="G40" i="8" s="1"/>
  <c r="D42" i="8" s="1"/>
  <c r="G14" i="6"/>
  <c r="D39" i="5" s="1"/>
  <c r="D24" i="5"/>
  <c r="D30" i="8" l="1"/>
  <c r="G30" i="8" s="1"/>
  <c r="D23" i="5"/>
  <c r="G24" i="10" l="1"/>
  <c r="D24" i="10"/>
  <c r="D17" i="5"/>
  <c r="D38"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<sst xmlns="http://schemas.openxmlformats.org/spreadsheetml/2006/main" count="209" uniqueCount="132">
  <si>
    <t>Aggregate chargeable transfer</t>
  </si>
  <si>
    <t>Current nil rate band</t>
  </si>
  <si>
    <t>Effective rate</t>
  </si>
  <si>
    <t>Entry Charge</t>
  </si>
  <si>
    <t>Exit rate</t>
  </si>
  <si>
    <t>Distribution amount</t>
  </si>
  <si>
    <t>Number of complete quarters since inception</t>
  </si>
  <si>
    <t>Number of complete quarters since last periodic charge</t>
  </si>
  <si>
    <t>Entry charge summary</t>
  </si>
  <si>
    <t xml:space="preserve">Gift into trust </t>
  </si>
  <si>
    <t>Nil rate band</t>
  </si>
  <si>
    <t>Available annual exemption</t>
  </si>
  <si>
    <t>Gifts into related settlements</t>
  </si>
  <si>
    <t>Payments left the trust which were liable to exit charge</t>
  </si>
  <si>
    <t>Periodic tax charge</t>
  </si>
  <si>
    <t>Exit charge summary</t>
  </si>
  <si>
    <t>Initial value of gift into trust</t>
  </si>
  <si>
    <t>Additional values gifted into trust since setup</t>
  </si>
  <si>
    <t>Value of same day additions</t>
  </si>
  <si>
    <r>
      <t>Previous CLT's in last 7 years</t>
    </r>
    <r>
      <rPr>
        <vertAlign val="superscript"/>
        <sz val="10"/>
        <color theme="1"/>
        <rFont val="Arial"/>
        <family val="2"/>
      </rPr>
      <t>2</t>
    </r>
  </si>
  <si>
    <r>
      <t>Gifts into related settlements</t>
    </r>
    <r>
      <rPr>
        <vertAlign val="superscript"/>
        <sz val="10"/>
        <color theme="1"/>
        <rFont val="Arial"/>
        <family val="2"/>
      </rPr>
      <t>2</t>
    </r>
  </si>
  <si>
    <r>
      <t xml:space="preserve">Value of same day additions </t>
    </r>
    <r>
      <rPr>
        <vertAlign val="superscript"/>
        <sz val="10"/>
        <color theme="1"/>
        <rFont val="Arial"/>
        <family val="2"/>
      </rPr>
      <t>3</t>
    </r>
  </si>
  <si>
    <r>
      <rPr>
        <vertAlign val="superscript"/>
        <sz val="10"/>
        <color theme="1"/>
        <rFont val="Arial"/>
        <family val="2"/>
      </rPr>
      <t>4</t>
    </r>
    <r>
      <rPr>
        <sz val="10"/>
        <color theme="1"/>
        <rFont val="Arial"/>
        <family val="2"/>
      </rPr>
      <t xml:space="preserve"> Historic value of any gifts made into other discretionary trusts 7 years prior to the creation of this settlement which are not considered related</t>
    </r>
  </si>
  <si>
    <r>
      <t>Gifts into related settlements</t>
    </r>
    <r>
      <rPr>
        <vertAlign val="superscript"/>
        <sz val="10"/>
        <color theme="1"/>
        <rFont val="Arial"/>
        <family val="2"/>
      </rPr>
      <t>1</t>
    </r>
    <r>
      <rPr>
        <sz val="10"/>
        <color theme="1"/>
        <rFont val="Arial"/>
        <family val="2"/>
      </rPr>
      <t xml:space="preserve"> </t>
    </r>
  </si>
  <si>
    <r>
      <t xml:space="preserve">Value of same day additions </t>
    </r>
    <r>
      <rPr>
        <vertAlign val="superscript"/>
        <sz val="10"/>
        <color theme="1"/>
        <rFont val="Arial"/>
        <family val="2"/>
      </rPr>
      <t>2</t>
    </r>
  </si>
  <si>
    <r>
      <t>Distribution amount</t>
    </r>
    <r>
      <rPr>
        <vertAlign val="superscript"/>
        <sz val="10"/>
        <color theme="1"/>
        <rFont val="Arial"/>
        <family val="2"/>
      </rPr>
      <t>4</t>
    </r>
  </si>
  <si>
    <r>
      <t xml:space="preserve">Distribution amount </t>
    </r>
    <r>
      <rPr>
        <vertAlign val="superscript"/>
        <sz val="10"/>
        <color theme="1"/>
        <rFont val="Arial"/>
        <family val="2"/>
      </rPr>
      <t>1</t>
    </r>
  </si>
  <si>
    <t>Date prepared</t>
  </si>
  <si>
    <r>
      <t>Chargeable payments to beneficiaries in last 10 years</t>
    </r>
    <r>
      <rPr>
        <vertAlign val="superscript"/>
        <sz val="10"/>
        <color theme="1"/>
        <rFont val="Arial"/>
        <family val="2"/>
      </rPr>
      <t>5</t>
    </r>
  </si>
  <si>
    <r>
      <rPr>
        <vertAlign val="superscript"/>
        <sz val="10"/>
        <color theme="1"/>
        <rFont val="Arial"/>
        <family val="2"/>
      </rPr>
      <t>5</t>
    </r>
    <r>
      <rPr>
        <sz val="10"/>
        <color theme="1"/>
        <rFont val="Arial"/>
        <family val="2"/>
      </rPr>
      <t xml:space="preserve"> The value of any distributions to beneficiaries where proportionate charges were imposed in the ten years before this perioidc charge </t>
    </r>
  </si>
  <si>
    <t>*</t>
  </si>
  <si>
    <r>
      <rPr>
        <vertAlign val="superscript"/>
        <sz val="10"/>
        <color theme="1"/>
        <rFont val="Arial"/>
        <family val="2"/>
      </rPr>
      <t>4</t>
    </r>
    <r>
      <rPr>
        <sz val="10"/>
        <color theme="1"/>
        <rFont val="Arial"/>
        <family val="2"/>
      </rPr>
      <t xml:space="preserve"> This is the payment amount</t>
    </r>
  </si>
  <si>
    <t>IHT charge on exit if deducted from payment</t>
  </si>
  <si>
    <t>IHT charge on exit if deducted from trust fund</t>
  </si>
  <si>
    <t>IHT charge on exit if tax deducted from trust fund</t>
  </si>
  <si>
    <t>IHT charge on exit if tax deducted from payment</t>
  </si>
  <si>
    <t>For Financial Advisers Only</t>
  </si>
  <si>
    <t xml:space="preserve">                                       For Financial Advisers Only</t>
  </si>
  <si>
    <t xml:space="preserve">                               For Financial Advisers Only</t>
  </si>
  <si>
    <t>Periodic Charge</t>
  </si>
  <si>
    <t>Exit Charge - within first 10 years</t>
  </si>
  <si>
    <t>Exit Charge - after 10 years</t>
  </si>
  <si>
    <t>Print Summary</t>
  </si>
  <si>
    <t>IHT charge at 10 year</t>
  </si>
  <si>
    <r>
      <t>Previous Chargeable Lifetime Transfers</t>
    </r>
    <r>
      <rPr>
        <vertAlign val="superscript"/>
        <sz val="10"/>
        <color theme="1"/>
        <rFont val="Arial"/>
        <family val="2"/>
      </rPr>
      <t>4</t>
    </r>
  </si>
  <si>
    <r>
      <t>Previous Chargeable Lifetime Transfers</t>
    </r>
    <r>
      <rPr>
        <vertAlign val="superscript"/>
        <sz val="10"/>
        <color theme="1"/>
        <rFont val="Arial"/>
        <family val="2"/>
      </rPr>
      <t>3</t>
    </r>
  </si>
  <si>
    <r>
      <rPr>
        <vertAlign val="superscript"/>
        <sz val="10"/>
        <color theme="1"/>
        <rFont val="Arial"/>
        <family val="2"/>
      </rPr>
      <t>3</t>
    </r>
    <r>
      <rPr>
        <sz val="10"/>
        <color theme="1"/>
        <rFont val="Arial"/>
        <family val="2"/>
      </rPr>
      <t xml:space="preserve"> Any previous gifts into discretionary trusts in the 7 years prior to this settlement which are not related</t>
    </r>
  </si>
  <si>
    <t>* Relief against the tax rate when the whole or part of the trust fund has not been relevant property for the full preceding ten years might be available but is beyond the scope of this tool</t>
  </si>
  <si>
    <r>
      <rPr>
        <vertAlign val="superscript"/>
        <sz val="10"/>
        <color theme="1"/>
        <rFont val="Arial"/>
        <family val="2"/>
      </rPr>
      <t>2</t>
    </r>
    <r>
      <rPr>
        <sz val="10"/>
        <color theme="1"/>
        <rFont val="Arial"/>
        <family val="2"/>
      </rPr>
      <t xml:space="preserve"> This should be reworked if the nil rate band has changed since the last 10 year calculation or additions have been made to this settlement or a related settlement</t>
    </r>
  </si>
  <si>
    <t>* Relief against the tax rate at the ten year anniversary when the whole or part of the trust fund has not been relevant property for the full preceding ten years might be available but is beyond the scope of this tool</t>
  </si>
  <si>
    <t>Previous Chargeable Lifetime Transfers</t>
  </si>
  <si>
    <t>Periodic Charge summary</t>
  </si>
  <si>
    <t>Exit Charge if deducted from payment</t>
  </si>
  <si>
    <t>Exit Charge if deducted from trust fund</t>
  </si>
  <si>
    <t>Updates</t>
  </si>
  <si>
    <t>Change</t>
  </si>
  <si>
    <t>Align styling and add additions for periodic charge calc</t>
  </si>
  <si>
    <t>Discretionary Trust UK IHT calculator</t>
  </si>
  <si>
    <r>
      <t xml:space="preserve"> </t>
    </r>
    <r>
      <rPr>
        <sz val="9"/>
        <color theme="1"/>
        <rFont val="Arial"/>
        <family val="2"/>
      </rPr>
      <t>This tool allows you to illustrate the tax charge that may apply at inception and during the life of your client's discretionary trust</t>
    </r>
  </si>
  <si>
    <t xml:space="preserve">                           Discretionary Trust UK IHT calculator</t>
  </si>
  <si>
    <t xml:space="preserve">                              Discretionary Trust UK IHT calculator</t>
  </si>
  <si>
    <t xml:space="preserve">                                         Discretionary Trust UK IHT calculator</t>
  </si>
  <si>
    <r>
      <rPr>
        <vertAlign val="superscript"/>
        <sz val="10"/>
        <color theme="1"/>
        <rFont val="Arial"/>
        <family val="2"/>
      </rPr>
      <t>1</t>
    </r>
    <r>
      <rPr>
        <sz val="10"/>
        <color theme="1"/>
        <rFont val="Arial"/>
        <family val="2"/>
      </rPr>
      <t xml:space="preserve"> The amount gifted into the discretionary trustis known as a Chargeable Lifetime Transfer or CLT</t>
    </r>
  </si>
  <si>
    <r>
      <rPr>
        <vertAlign val="superscript"/>
        <sz val="10"/>
        <color theme="1"/>
        <rFont val="Arial"/>
        <family val="2"/>
      </rPr>
      <t>2</t>
    </r>
    <r>
      <rPr>
        <sz val="10"/>
        <color theme="1"/>
        <rFont val="Arial"/>
        <family val="2"/>
      </rPr>
      <t xml:space="preserve"> Any previous gifts into other discretionary trusts</t>
    </r>
  </si>
  <si>
    <r>
      <t>Proposed gift into trust (CLT)</t>
    </r>
    <r>
      <rPr>
        <vertAlign val="superscript"/>
        <sz val="10"/>
        <color theme="1"/>
        <rFont val="Arial"/>
        <family val="2"/>
      </rPr>
      <t>1</t>
    </r>
  </si>
  <si>
    <r>
      <t>Value of the trust fund</t>
    </r>
    <r>
      <rPr>
        <vertAlign val="superscript"/>
        <sz val="10"/>
        <color theme="1"/>
        <rFont val="Arial"/>
        <family val="2"/>
      </rPr>
      <t>1</t>
    </r>
  </si>
  <si>
    <r>
      <rPr>
        <vertAlign val="superscript"/>
        <sz val="10"/>
        <color theme="1"/>
        <rFont val="Arial"/>
        <family val="2"/>
      </rPr>
      <t>1</t>
    </r>
    <r>
      <rPr>
        <sz val="10"/>
        <color theme="1"/>
        <rFont val="Arial"/>
        <family val="2"/>
      </rPr>
      <t xml:space="preserve"> Value of the discretionary trust the day before the 10th anniversary</t>
    </r>
  </si>
  <si>
    <t>Value of Notional transfer</t>
  </si>
  <si>
    <t>Available nil rate band for periodic charge</t>
  </si>
  <si>
    <t>Actual rate</t>
  </si>
  <si>
    <t>Notional IHT (20% of aggregate chargeable transfer)</t>
  </si>
  <si>
    <r>
      <t>Actual rate at previous periodic charge</t>
    </r>
    <r>
      <rPr>
        <vertAlign val="superscript"/>
        <sz val="10"/>
        <color theme="1"/>
        <rFont val="Arial"/>
        <family val="2"/>
      </rPr>
      <t>2</t>
    </r>
  </si>
  <si>
    <r>
      <rPr>
        <vertAlign val="superscript"/>
        <sz val="10"/>
        <color theme="1"/>
        <rFont val="Arial"/>
        <family val="2"/>
      </rPr>
      <t>1</t>
    </r>
    <r>
      <rPr>
        <sz val="10"/>
        <color theme="1"/>
        <rFont val="Arial"/>
        <family val="2"/>
      </rPr>
      <t xml:space="preserve"> This is the payment amount to a beneficiary</t>
    </r>
  </si>
  <si>
    <t>Available nil rate band for exit charge</t>
  </si>
  <si>
    <t>Discretionary trust inheritance tax summary</t>
  </si>
  <si>
    <t>Entry Charge if trustees pay</t>
  </si>
  <si>
    <t>Entry Charge if settlor pays</t>
  </si>
  <si>
    <t>Value of trust fund</t>
  </si>
  <si>
    <t>CLT Entry Charge (if paid from trust fund)</t>
  </si>
  <si>
    <t>CLT Entry Charge (if paid by settlor)</t>
  </si>
  <si>
    <r>
      <t>Exemption applied to gift</t>
    </r>
    <r>
      <rPr>
        <vertAlign val="superscript"/>
        <sz val="10"/>
        <color theme="1"/>
        <rFont val="Arial"/>
        <family val="2"/>
      </rPr>
      <t>3</t>
    </r>
    <r>
      <rPr>
        <sz val="10"/>
        <color theme="1"/>
        <rFont val="Arial"/>
        <family val="2"/>
      </rPr>
      <t xml:space="preserve"> </t>
    </r>
  </si>
  <si>
    <r>
      <rPr>
        <vertAlign val="superscript"/>
        <sz val="10"/>
        <color theme="1"/>
        <rFont val="Arial"/>
        <family val="2"/>
      </rPr>
      <t>3</t>
    </r>
    <r>
      <rPr>
        <sz val="10"/>
        <color theme="1"/>
        <rFont val="Arial"/>
        <family val="2"/>
      </rPr>
      <t xml:space="preserve"> Value of exemptions that apply to the gift e.g. Annual exemption / normal expenditure / business relief</t>
    </r>
  </si>
  <si>
    <r>
      <rPr>
        <vertAlign val="superscript"/>
        <sz val="10"/>
        <color theme="1"/>
        <rFont val="Arial"/>
        <family val="2"/>
      </rPr>
      <t xml:space="preserve">2 </t>
    </r>
    <r>
      <rPr>
        <sz val="10"/>
        <color theme="1"/>
        <rFont val="Arial"/>
        <family val="2"/>
      </rPr>
      <t xml:space="preserve">Trusts are related if the settlor is the same and they were declared on the same day. Where this applies enter the value of the related trust(s) immediately after they commenced into this box.
</t>
    </r>
    <r>
      <rPr>
        <sz val="8"/>
        <color theme="1"/>
        <rFont val="Arial"/>
        <family val="2"/>
      </rPr>
      <t xml:space="preserve">
</t>
    </r>
    <r>
      <rPr>
        <sz val="10"/>
        <color theme="1"/>
        <rFont val="Arial"/>
        <family val="2"/>
      </rPr>
      <t>A trust may also be related where an addition has been made on the same day to two or more trusts. Where this applies, enter the value of the related trust(s) immediately after they commenced excluding the addition as this is entered below.</t>
    </r>
  </si>
  <si>
    <r>
      <rPr>
        <vertAlign val="superscript"/>
        <sz val="10"/>
        <color theme="1"/>
        <rFont val="Arial"/>
        <family val="2"/>
      </rPr>
      <t>3</t>
    </r>
    <r>
      <rPr>
        <sz val="10"/>
        <color theme="1"/>
        <rFont val="Arial"/>
        <family val="2"/>
      </rPr>
      <t xml:space="preserve"> The value that has been added to another relevant property trust created by the same settlor on the same day as an addition made to this settlement. Do not include gifts to this trust or amounts already reported under the related settlements section.</t>
    </r>
  </si>
  <si>
    <r>
      <rPr>
        <vertAlign val="superscript"/>
        <sz val="10"/>
        <color theme="1"/>
        <rFont val="Arial"/>
        <family val="2"/>
      </rPr>
      <t>1</t>
    </r>
    <r>
      <rPr>
        <sz val="10"/>
        <color theme="1"/>
        <rFont val="Arial"/>
        <family val="2"/>
      </rPr>
      <t xml:space="preserve"> Trusts are related if the settlor is the same and they were declared on the same day. Where this applies enter the value of the related trust(s) immediately after they commenced into this box.
A trust may also be related where an addition has been made on the same day to two or more trusts. Where this applies, enter the value of the related trust(s) immediately after they commenced excluding the addition as this is entered below.</t>
    </r>
  </si>
  <si>
    <r>
      <rPr>
        <vertAlign val="superscript"/>
        <sz val="10"/>
        <color theme="1"/>
        <rFont val="Arial"/>
        <family val="2"/>
      </rPr>
      <t>2</t>
    </r>
    <r>
      <rPr>
        <sz val="10"/>
        <color theme="1"/>
        <rFont val="Arial"/>
        <family val="2"/>
      </rPr>
      <t xml:space="preserve"> The value that has been added to another relevant property trust created by the same settlor on the same day as an addition made to this settlement. Do not include gifts to this trust or amounts already reported under the related settlements section.</t>
    </r>
  </si>
  <si>
    <t>Single trust</t>
  </si>
  <si>
    <t>Multiple trusts</t>
  </si>
  <si>
    <t>Please select how many (maximum of 4)</t>
  </si>
  <si>
    <t>Periodic charge year</t>
  </si>
  <si>
    <t>Rysaffe addition</t>
  </si>
  <si>
    <t>IHT charge at 10 year single trust</t>
  </si>
  <si>
    <t>IHT charge at 10 year trust 1</t>
  </si>
  <si>
    <t>IHT charge at 10 year trust 2</t>
  </si>
  <si>
    <t>IHT charge at 10 year trust 3</t>
  </si>
  <si>
    <t>IHT charge at 10 year trust 4</t>
  </si>
  <si>
    <t>IHT total with multiple trusts</t>
  </si>
  <si>
    <t>Saving or loss compared to single</t>
  </si>
  <si>
    <r>
      <t xml:space="preserve">Value of the trust fund no </t>
    </r>
    <r>
      <rPr>
        <b/>
        <sz val="10"/>
        <color theme="1"/>
        <rFont val="Arial"/>
        <family val="2"/>
      </rPr>
      <t>1</t>
    </r>
  </si>
  <si>
    <r>
      <t xml:space="preserve">Value of the trust fund no </t>
    </r>
    <r>
      <rPr>
        <b/>
        <sz val="10"/>
        <color theme="1"/>
        <rFont val="Arial"/>
        <family val="2"/>
      </rPr>
      <t>2</t>
    </r>
  </si>
  <si>
    <r>
      <t xml:space="preserve">Value of the trust fund no </t>
    </r>
    <r>
      <rPr>
        <b/>
        <sz val="10"/>
        <color theme="1"/>
        <rFont val="Arial"/>
        <family val="2"/>
      </rPr>
      <t>3</t>
    </r>
  </si>
  <si>
    <r>
      <t xml:space="preserve">Value of the trust fund no </t>
    </r>
    <r>
      <rPr>
        <b/>
        <sz val="10"/>
        <color theme="1"/>
        <rFont val="Arial"/>
        <family val="2"/>
      </rPr>
      <t>4</t>
    </r>
  </si>
  <si>
    <r>
      <t>Annual rate of return</t>
    </r>
    <r>
      <rPr>
        <vertAlign val="superscript"/>
        <sz val="10"/>
        <color theme="1"/>
        <rFont val="Arial"/>
        <family val="2"/>
      </rPr>
      <t>1</t>
    </r>
  </si>
  <si>
    <r>
      <t>Value of the trust fund</t>
    </r>
    <r>
      <rPr>
        <vertAlign val="superscript"/>
        <sz val="10"/>
        <color theme="1"/>
        <rFont val="Arial"/>
        <family val="2"/>
      </rPr>
      <t>2</t>
    </r>
  </si>
  <si>
    <r>
      <rPr>
        <vertAlign val="superscript"/>
        <sz val="10"/>
        <color theme="1"/>
        <rFont val="Arial"/>
        <family val="2"/>
      </rPr>
      <t>5</t>
    </r>
    <r>
      <rPr>
        <sz val="10"/>
        <color theme="1"/>
        <rFont val="Arial"/>
        <family val="2"/>
      </rPr>
      <t xml:space="preserve"> A negative figure means that there is a tax saving achieved by creating multiple trusts compared to a single trust. A positive demonstrates that there is no tax saving.</t>
    </r>
  </si>
  <si>
    <r>
      <t xml:space="preserve">1 </t>
    </r>
    <r>
      <rPr>
        <sz val="10"/>
        <color theme="1"/>
        <rFont val="Arial"/>
        <family val="2"/>
      </rPr>
      <t>We use this % to provide a illustrative value at future anniversaries.</t>
    </r>
  </si>
  <si>
    <r>
      <rPr>
        <vertAlign val="superscript"/>
        <sz val="10"/>
        <color theme="1"/>
        <rFont val="Arial"/>
        <family val="2"/>
      </rPr>
      <t>2</t>
    </r>
    <r>
      <rPr>
        <sz val="10"/>
        <color theme="1"/>
        <rFont val="Arial"/>
        <family val="2"/>
      </rPr>
      <t xml:space="preserve"> Illustrative value of the discretionary trust the day before the selected anniversary.</t>
    </r>
  </si>
  <si>
    <r>
      <rPr>
        <vertAlign val="superscript"/>
        <sz val="10"/>
        <color theme="1"/>
        <rFont val="Arial"/>
        <family val="2"/>
      </rPr>
      <t>4</t>
    </r>
    <r>
      <rPr>
        <sz val="10"/>
        <color theme="1"/>
        <rFont val="Arial"/>
        <family val="2"/>
      </rPr>
      <t xml:space="preserve"> Historic value of any gifts made into other discretionary trusts 7 years prior to the creation of this settlement.</t>
    </r>
  </si>
  <si>
    <t xml:space="preserve">This tool allows you to calculate UK IHT charges applicable to a discretionary trust.  Before using this tool you need to obtain information of your clients holdings along with the gifting history of the setltor(s) and any exits or additional investments into the trust. 
This tool doesn't take into account any reliefs that may be available for property that hasn't been within the trust for the full 10 years leading up to the periodic charge. For joint settlor cases previous gifts and available nil rate band needs to be included for both settlors.
You should be satisfied that the information you have entered and the results of any calculation are correct, before acting or refraining from acting in reliance upon the information given. We accept no responsibility for any incorrect tax reporting that may arise as a result of your decision to advise your clients following the use of this tool.
This document is based on Quilter’s interpretation of the law and HM Revenue and Customs practice as at March 2026. We believe this interpretation is correct, but cannot guarantee it. Tax relief and the tax treatment of investment funds may change. 
platform.quilter.com </t>
  </si>
  <si>
    <t xml:space="preserve">This tool allows you to calculate UK IHT charges applicable to a discretionary trust.  Before using this tool you need to obtain information of your clients holdings along with the gifting history of the setltor(s) and any exits or additional investments into the trust. 
This tool doesn't take into account any reliefs that may be available for property that hasn't been within the trust for the full 10 years leading up to the periodic charge. For joint settlor cases previous gifts and available nil rate band needs to be included for both settlors.
You should be satisfied that the information you have entered and the results of any calculation are correct, before acting or refraining from acting in reliance upon the information given. We accept no responsibility for any incorrect tax reporting that may arise as a result of your decision to advise your clients following the use of this tool.
This document is based on Quilter’s interpretation of the law and HM Revenue and Customs practice as at March 2026. We believe this interpretation is correct, but cannot guarantee it. Tax relief and the tax treatment of investment funds may change. 
platform.quilter.com 
Please be aware that calls and electronic communications may be recorded for monitoring, regulatory and training purposes and records are available for at least five years. 
Quilter is the trading name of Quilter Investment Platform Limited which provides an Individual Savings Account (ISA), Junior ISA (JISA) and Collective Investment Account (CIA) and Quilter Life &amp; Pensions Limited which provides a Collective Retirement Account (CRA) and Collective Investment Bond (CIB). 
Quilter Investment Platform Limited and Quilter Life &amp; Pensions Limited are registered in England and Wales under numbers 1680071 and 4163431 respectively. 
Registered Office at Senator House, 85 Queen Victoria Street, London, EC4V 4AB, United Kingdom. Quilter Investment Platform Limited is authorised and regulated by the Financial Conduct Authority.  
Quilter Life &amp; Pensions Limited is authorised by the Prudential Regulation Authority and regulated by the Financial Conduct Authority and the Prudential Regulation Authority. Their Financial Services register numbers are 165359 and 207977 respectively. VAT number 386 1301 59. 
</t>
  </si>
  <si>
    <r>
      <t>Annual rate of return</t>
    </r>
    <r>
      <rPr>
        <b/>
        <vertAlign val="superscript"/>
        <sz val="10"/>
        <color theme="1"/>
        <rFont val="Arial"/>
        <family val="2"/>
      </rPr>
      <t>1</t>
    </r>
  </si>
  <si>
    <t xml:space="preserve">This tool allows you to calculate UK IHT charges applicable to a discretionary trust.  Before using this tool you need to obtain information of your clients holdings along with the gifting history of the setltor(s) and any exits or additional investments into the trust. 
This tool doesn't take into account any reliefs that may be available for property that hasn't been within the trust for the full 10 years leading up to the periodic charge. For joint settlor cases previous gifts and available nil rate band needs to be included for both settlors.
You should be satisfied that the information you have entered and the results of any calculation are correct, before acting or refraining from acting in reliance upon the information given. We accept no responsibility for any incorrect tax reporting that may arise as a result of your decision to advise your clients following the use of this tool.
This document is based on Quilter’s interpretation of the law and HM Revenue and Customs practice as at March 2026. We believe this interpretation is correct, but cannot guarantee it. Tax relief and the tax treatment of investment funds may change. 
platform.quilter.com					
					</t>
  </si>
  <si>
    <r>
      <rPr>
        <vertAlign val="superscript"/>
        <sz val="10"/>
        <color theme="1"/>
        <rFont val="Arial"/>
        <family val="2"/>
      </rPr>
      <t>4</t>
    </r>
    <r>
      <rPr>
        <sz val="10"/>
        <color theme="1"/>
        <rFont val="Arial"/>
        <family val="2"/>
      </rPr>
      <t xml:space="preserve"> Historic value of any gifts made into other discretionary trusts 7 years prior to the creation of this settlement. For multiple trusts this includes the earlier trusts proposed</t>
    </r>
  </si>
  <si>
    <t>IHT charge at anniversary with multiple trusts</t>
  </si>
  <si>
    <t>IHT charge at anniversary single trust</t>
  </si>
  <si>
    <r>
      <rPr>
        <vertAlign val="superscript"/>
        <sz val="10"/>
        <color theme="1"/>
        <rFont val="Arial"/>
        <family val="2"/>
      </rPr>
      <t>5</t>
    </r>
    <r>
      <rPr>
        <sz val="10"/>
        <color theme="1"/>
        <rFont val="Arial"/>
        <family val="2"/>
      </rPr>
      <t xml:space="preserve"> A negative figure means that there is a IHT saving achieved by creating multiple trusts compared to a single trust. A positive demonstrates that there is no IHT saving.</t>
    </r>
  </si>
  <si>
    <r>
      <t>Nil rate band</t>
    </r>
    <r>
      <rPr>
        <vertAlign val="superscript"/>
        <sz val="10"/>
        <color theme="1"/>
        <rFont val="Arial"/>
        <family val="2"/>
      </rPr>
      <t>3</t>
    </r>
  </si>
  <si>
    <t>NRB</t>
  </si>
  <si>
    <t>From</t>
  </si>
  <si>
    <t>To</t>
  </si>
  <si>
    <t>Threshold/nil rate band</t>
  </si>
  <si>
    <t>Inflation assumption (post 2030/31)</t>
  </si>
  <si>
    <r>
      <rPr>
        <vertAlign val="superscript"/>
        <sz val="10"/>
        <color theme="1"/>
        <rFont val="Arial"/>
        <family val="2"/>
      </rPr>
      <t>3</t>
    </r>
    <r>
      <rPr>
        <sz val="10"/>
        <color theme="1"/>
        <rFont val="Arial"/>
        <family val="2"/>
      </rPr>
      <t xml:space="preserve"> This is the nil rate band at the time of the respective periodic charge. The percentage entered in the inflation assumption box has been applied from 2031.</t>
    </r>
  </si>
  <si>
    <t>Rysaffe planning comparison</t>
  </si>
  <si>
    <r>
      <t>Saving (if any) at anniversary selected</t>
    </r>
    <r>
      <rPr>
        <b/>
        <vertAlign val="superscript"/>
        <sz val="10"/>
        <color theme="0"/>
        <rFont val="Arial"/>
        <family val="2"/>
      </rPr>
      <t>5</t>
    </r>
  </si>
  <si>
    <t>Enter initial value (gift / loan)</t>
  </si>
  <si>
    <t>Gift</t>
  </si>
  <si>
    <t>Loan</t>
  </si>
  <si>
    <t>Type of trust</t>
  </si>
  <si>
    <t>Less loan</t>
  </si>
  <si>
    <t>Initial gift / loan</t>
  </si>
  <si>
    <t>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</si>
</sst>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19" x14ac:knownFonts="1">
    <font>
      <sz val="11"/>
      <color theme="1"/>
      <name val="Times New Roman"/>
      <family val="2"/>
    </font>
    <font>
      <sz val="11"/>
      <color theme="1"/>
      <name val="Arial"/>
      <family val="2"/>
    </font>
    <font>
      <sz val="10"/>
      <color theme="1"/>
      <name val="Arial"/>
      <family val="2"/>
    </font>
    <font>
      <b/>
      <sz val="11"/>
      <color theme="1"/>
      <name val="Arial"/>
      <family val="2"/>
    </font>
    <font>
      <sz val="8"/>
      <color theme="1"/>
      <name val="Arial"/>
      <family val="2"/>
    </font>
    <font>
      <b/>
      <sz val="10"/>
      <color theme="1"/>
      <name val="Arial"/>
      <family val="2"/>
    </font>
    <font>
      <sz val="12"/>
      <color theme="1"/>
      <name val="Arial"/>
      <family val="2"/>
    </font>
    <font>
      <vertAlign val="superscript"/>
      <sz val="10"/>
      <color theme="1"/>
      <name val="Arial"/>
      <family val="2"/>
    </font>
    <font>
      <sz val="9"/>
      <color theme="1"/>
      <name val="Arial"/>
      <family val="2"/>
    </font>
    <font>
      <sz val="7"/>
      <color theme="1"/>
      <name val="Arial"/>
      <family val="2"/>
    </font>
    <font>
      <b/>
      <sz val="11"/>
      <color theme="1"/>
      <name val="Times New Roman"/>
      <family val="1"/>
    </font>
    <font>
      <sz val="10"/>
      <color theme="0"/>
      <name val="Arial"/>
      <family val="2"/>
    </font>
    <font>
      <sz val="10"/>
      <name val="Arial"/>
      <family val="2"/>
    </font>
    <font>
      <b/>
      <sz val="10"/>
      <color theme="0"/>
      <name val="Arial"/>
      <family val="2"/>
    </font>
    <font>
      <sz val="11"/>
      <color theme="1"/>
      <name val="Times New Roman"/>
      <family val="2"/>
    </font>
    <font>
      <b/>
      <vertAlign val="superscript"/>
      <sz val="10"/>
      <color theme="0"/>
      <name val="Arial"/>
      <family val="2"/>
    </font>
    <font>
      <b/>
      <vertAlign val="superscript"/>
      <sz val="10"/>
      <color theme="1"/>
      <name val="Arial"/>
      <family val="2"/>
    </font>
    <font>
      <sz val="8"/>
      <color theme="0"/>
      <name val="Arial"/>
      <family val="2"/>
    </font>
    <font>
      <sz val="10"/>
      <color theme="0" tint="-4.9989318521683403E-2"/>
      <name val="Arial"/>
      <family val="2"/>
    </font>
  </fonts>
  <fills count="5">
    <fill>
      <patternFill patternType="none"/>
    </fill>
    <fill>
      <patternFill patternType="gray125"/>
    </fill>
    <fill>
      <patternFill patternType="solid">
        <fgColor rgb="FF008000"/>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ck">
        <color rgb="FF006150"/>
      </left>
      <right/>
      <top style="thick">
        <color rgb="FF006150"/>
      </top>
      <bottom/>
      <diagonal/>
    </border>
    <border>
      <left/>
      <right/>
      <top style="thick">
        <color rgb="FF006150"/>
      </top>
      <bottom/>
      <diagonal/>
    </border>
    <border>
      <left/>
      <right style="thick">
        <color rgb="FF006150"/>
      </right>
      <top style="thick">
        <color rgb="FF006150"/>
      </top>
      <bottom/>
      <diagonal/>
    </border>
    <border>
      <left style="thick">
        <color rgb="FF006150"/>
      </left>
      <right/>
      <top/>
      <bottom/>
      <diagonal/>
    </border>
    <border>
      <left/>
      <right style="thick">
        <color rgb="FF006150"/>
      </right>
      <top/>
      <bottom/>
      <diagonal/>
    </border>
    <border>
      <left style="thick">
        <color rgb="FF006150"/>
      </left>
      <right/>
      <top/>
      <bottom style="thick">
        <color rgb="FF006150"/>
      </bottom>
      <diagonal/>
    </border>
    <border>
      <left/>
      <right/>
      <top/>
      <bottom style="thick">
        <color rgb="FF006150"/>
      </bottom>
      <diagonal/>
    </border>
    <border>
      <left/>
      <right style="thick">
        <color rgb="FF006150"/>
      </right>
      <top/>
      <bottom style="thick">
        <color rgb="FF006150"/>
      </bottom>
      <diagonal/>
    </border>
    <border>
      <left/>
      <right/>
      <top style="thin">
        <color indexed="64"/>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double">
        <color indexed="64"/>
      </bottom>
      <diagonal/>
    </border>
    <border>
      <left/>
      <right/>
      <top/>
      <bottom style="thick">
        <color rgb="FF008000"/>
      </bottom>
      <diagonal/>
    </border>
    <border>
      <left style="thin">
        <color indexed="64"/>
      </left>
      <right/>
      <top/>
      <bottom/>
      <diagonal/>
    </border>
  </borders>
  <cellStyleXfs count="2">
    <xf numFmtId="0" fontId="0" fillId="0" borderId="0"/>
    <xf numFmtId="9" fontId="14" fillId="0" borderId="0" applyFont="0" applyFill="0" applyBorder="0" applyAlignment="0" applyProtection="0"/>
  </cellStyleXfs>
  <cellXfs count="103">
    <xf numFmtId="0" fontId="0" fillId="0" borderId="0" xfId="0"/>
    <xf numFmtId="0" fontId="1" fillId="0" borderId="0" xfId="0" applyFont="1"/>
    <xf numFmtId="0" fontId="2" fillId="0" borderId="0" xfId="0" applyFont="1"/>
    <xf numFmtId="164" fontId="2" fillId="0" borderId="0" xfId="0" applyNumberFormat="1" applyFont="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2" fillId="0" borderId="0" xfId="0" applyFont="1" applyAlignment="1">
      <alignment horizontal="left"/>
    </xf>
    <xf numFmtId="0" fontId="2" fillId="0" borderId="7" xfId="0" applyFont="1" applyBorder="1"/>
    <xf numFmtId="0" fontId="2" fillId="0" borderId="8" xfId="0" applyFont="1" applyBorder="1"/>
    <xf numFmtId="0" fontId="2" fillId="0" borderId="9" xfId="0" applyFont="1" applyBorder="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1" fillId="0" borderId="7" xfId="0" applyFont="1" applyBorder="1"/>
    <xf numFmtId="0" fontId="1" fillId="0" borderId="8" xfId="0" applyFont="1" applyBorder="1"/>
    <xf numFmtId="0" fontId="1" fillId="0" borderId="9" xfId="0" applyFont="1" applyBorder="1"/>
    <xf numFmtId="0" fontId="5" fillId="0" borderId="0" xfId="0" applyFont="1"/>
    <xf numFmtId="9" fontId="2" fillId="0" borderId="0" xfId="0" applyNumberFormat="1" applyFont="1"/>
    <xf numFmtId="10" fontId="2" fillId="0" borderId="0" xfId="0" applyNumberFormat="1" applyFont="1"/>
    <xf numFmtId="165" fontId="2" fillId="0" borderId="1" xfId="0" applyNumberFormat="1" applyFont="1" applyBorder="1"/>
    <xf numFmtId="0" fontId="2" fillId="0" borderId="8" xfId="0" applyFont="1" applyBorder="1" applyAlignment="1">
      <alignment horizontal="left" wrapText="1"/>
    </xf>
    <xf numFmtId="1" fontId="2" fillId="0" borderId="10" xfId="0" applyNumberFormat="1" applyFont="1" applyBorder="1"/>
    <xf numFmtId="165" fontId="2" fillId="0" borderId="0" xfId="0" applyNumberFormat="1" applyFont="1"/>
    <xf numFmtId="0" fontId="3" fillId="0" borderId="5" xfId="0" applyFont="1" applyBorder="1" applyAlignment="1">
      <alignment horizontal="left"/>
    </xf>
    <xf numFmtId="0" fontId="3" fillId="0" borderId="0" xfId="0" applyFont="1"/>
    <xf numFmtId="14" fontId="3" fillId="0" borderId="0" xfId="0" applyNumberFormat="1" applyFont="1" applyAlignment="1">
      <alignment horizontal="left"/>
    </xf>
    <xf numFmtId="0" fontId="3" fillId="0" borderId="5" xfId="0" applyFont="1" applyBorder="1"/>
    <xf numFmtId="17" fontId="0" fillId="0" borderId="0" xfId="0" applyNumberFormat="1"/>
    <xf numFmtId="0" fontId="10" fillId="0" borderId="0" xfId="0" applyFont="1"/>
    <xf numFmtId="0" fontId="11" fillId="2" borderId="0" xfId="0" applyFont="1" applyFill="1"/>
    <xf numFmtId="10" fontId="2" fillId="0" borderId="11" xfId="0" applyNumberFormat="1" applyFont="1" applyBorder="1"/>
    <xf numFmtId="165" fontId="2" fillId="0" borderId="11" xfId="0" applyNumberFormat="1" applyFont="1" applyBorder="1"/>
    <xf numFmtId="165" fontId="12" fillId="3" borderId="11" xfId="0" applyNumberFormat="1" applyFont="1" applyFill="1" applyBorder="1"/>
    <xf numFmtId="165" fontId="2" fillId="3" borderId="11" xfId="0" applyNumberFormat="1" applyFont="1" applyFill="1" applyBorder="1"/>
    <xf numFmtId="165" fontId="2" fillId="0" borderId="13" xfId="0" applyNumberFormat="1" applyFont="1" applyBorder="1"/>
    <xf numFmtId="165" fontId="2" fillId="0" borderId="12" xfId="0" applyNumberFormat="1" applyFont="1" applyBorder="1"/>
    <xf numFmtId="0" fontId="13" fillId="2" borderId="0" xfId="0" applyFont="1" applyFill="1"/>
    <xf numFmtId="1" fontId="2" fillId="0" borderId="0" xfId="0" applyNumberFormat="1" applyFont="1"/>
    <xf numFmtId="164" fontId="2" fillId="0" borderId="11" xfId="0" applyNumberFormat="1" applyFont="1" applyBorder="1"/>
    <xf numFmtId="0" fontId="12" fillId="3" borderId="0" xfId="0" applyFont="1" applyFill="1"/>
    <xf numFmtId="165" fontId="2" fillId="4" borderId="1" xfId="0" applyNumberFormat="1" applyFont="1" applyFill="1" applyBorder="1" applyProtection="1">
      <protection locked="0"/>
    </xf>
    <xf numFmtId="1" fontId="2" fillId="4" borderId="1" xfId="0" applyNumberFormat="1" applyFont="1" applyFill="1" applyBorder="1" applyProtection="1">
      <protection locked="0"/>
    </xf>
    <xf numFmtId="10" fontId="2" fillId="4" borderId="1" xfId="0" applyNumberFormat="1" applyFont="1" applyFill="1" applyBorder="1" applyProtection="1">
      <protection locked="0"/>
    </xf>
    <xf numFmtId="3" fontId="2" fillId="4" borderId="1" xfId="0" applyNumberFormat="1" applyFont="1" applyFill="1" applyBorder="1" applyProtection="1">
      <protection locked="0"/>
    </xf>
    <xf numFmtId="0" fontId="2" fillId="0" borderId="0" xfId="0" applyFont="1" applyAlignment="1">
      <alignment horizontal="left" wrapText="1"/>
    </xf>
    <xf numFmtId="0" fontId="2" fillId="3" borderId="0" xfId="0" applyFont="1" applyFill="1"/>
    <xf numFmtId="165" fontId="2" fillId="3" borderId="0" xfId="0" applyNumberFormat="1" applyFont="1" applyFill="1"/>
    <xf numFmtId="165" fontId="13" fillId="2" borderId="0" xfId="0" applyNumberFormat="1" applyFont="1" applyFill="1"/>
    <xf numFmtId="164" fontId="11" fillId="2" borderId="0" xfId="0" applyNumberFormat="1" applyFont="1" applyFill="1"/>
    <xf numFmtId="165" fontId="12" fillId="3" borderId="1" xfId="0" applyNumberFormat="1" applyFont="1" applyFill="1" applyBorder="1"/>
    <xf numFmtId="9" fontId="2" fillId="4" borderId="1" xfId="1" applyFont="1" applyFill="1" applyBorder="1" applyProtection="1">
      <protection locked="0"/>
    </xf>
    <xf numFmtId="0" fontId="2" fillId="4" borderId="1" xfId="0" applyFont="1" applyFill="1" applyBorder="1" applyProtection="1">
      <protection locked="0"/>
    </xf>
    <xf numFmtId="165" fontId="2" fillId="4" borderId="0" xfId="0" applyNumberFormat="1" applyFont="1" applyFill="1"/>
    <xf numFmtId="0" fontId="7" fillId="3" borderId="0" xfId="0" applyFont="1" applyFill="1"/>
    <xf numFmtId="0" fontId="2" fillId="3" borderId="0" xfId="0" applyFont="1" applyFill="1" applyAlignment="1">
      <alignment horizontal="left" wrapText="1"/>
    </xf>
    <xf numFmtId="0" fontId="2" fillId="0" borderId="14" xfId="0" applyFont="1" applyBorder="1" applyAlignment="1">
      <alignment horizontal="left" wrapText="1"/>
    </xf>
    <xf numFmtId="0" fontId="3" fillId="3" borderId="0" xfId="0" applyFont="1" applyFill="1"/>
    <xf numFmtId="0" fontId="5" fillId="4" borderId="0" xfId="0" applyFont="1" applyFill="1"/>
    <xf numFmtId="0" fontId="2" fillId="4" borderId="0" xfId="0" applyFont="1" applyFill="1"/>
    <xf numFmtId="9" fontId="2" fillId="4" borderId="0" xfId="1" applyFont="1" applyFill="1" applyBorder="1" applyProtection="1"/>
    <xf numFmtId="164" fontId="2" fillId="4" borderId="0" xfId="0" applyNumberFormat="1" applyFont="1" applyFill="1"/>
    <xf numFmtId="165" fontId="12" fillId="4" borderId="11" xfId="0" applyNumberFormat="1" applyFont="1" applyFill="1" applyBorder="1"/>
    <xf numFmtId="165" fontId="2" fillId="4" borderId="11" xfId="0" applyNumberFormat="1" applyFont="1" applyFill="1" applyBorder="1"/>
    <xf numFmtId="10" fontId="2" fillId="4" borderId="11" xfId="0" applyNumberFormat="1" applyFont="1" applyFill="1" applyBorder="1"/>
    <xf numFmtId="10" fontId="2" fillId="4" borderId="0" xfId="0" applyNumberFormat="1" applyFont="1" applyFill="1"/>
    <xf numFmtId="164" fontId="12" fillId="4" borderId="0" xfId="0" applyNumberFormat="1" applyFont="1" applyFill="1"/>
    <xf numFmtId="14" fontId="0" fillId="0" borderId="0" xfId="0" applyNumberFormat="1"/>
    <xf numFmtId="165" fontId="0" fillId="0" borderId="0" xfId="0" applyNumberFormat="1"/>
    <xf numFmtId="14" fontId="17" fillId="3" borderId="0" xfId="0" applyNumberFormat="1" applyFont="1" applyFill="1"/>
    <xf numFmtId="9" fontId="2" fillId="4" borderId="1" xfId="0" applyNumberFormat="1" applyFont="1" applyFill="1" applyBorder="1" applyProtection="1">
      <protection locked="0"/>
    </xf>
    <xf numFmtId="0" fontId="5" fillId="0" borderId="0" xfId="0" applyFont="1" applyAlignment="1">
      <alignment horizontal="right"/>
    </xf>
    <xf numFmtId="0" fontId="2" fillId="3" borderId="15" xfId="0" applyFont="1" applyFill="1" applyBorder="1" applyAlignment="1">
      <alignment horizontal="center"/>
    </xf>
    <xf numFmtId="0" fontId="2" fillId="4" borderId="1" xfId="0" applyFont="1" applyFill="1" applyBorder="1" applyAlignment="1" applyProtection="1">
      <alignment horizontal="right"/>
      <protection locked="0"/>
    </xf>
    <xf numFmtId="0" fontId="6" fillId="0" borderId="0" xfId="0" applyFont="1" applyAlignment="1">
      <alignment horizontal="left" vertical="top" wrapText="1"/>
    </xf>
    <xf numFmtId="0" fontId="1" fillId="0" borderId="8" xfId="0" applyFont="1" applyBorder="1" applyAlignment="1">
      <alignment horizontal="center"/>
    </xf>
    <xf numFmtId="0" fontId="3" fillId="0" borderId="0" xfId="0" applyFont="1" applyAlignment="1">
      <alignment horizontal="left" vertical="center" wrapText="1"/>
    </xf>
    <xf numFmtId="0" fontId="3" fillId="0" borderId="6" xfId="0" applyFont="1" applyBorder="1" applyAlignment="1">
      <alignment horizontal="left" vertical="center" wrapText="1"/>
    </xf>
    <xf numFmtId="0" fontId="5" fillId="0" borderId="0" xfId="0" applyFont="1" applyAlignment="1">
      <alignment horizontal="center"/>
    </xf>
    <xf numFmtId="0" fontId="2" fillId="0" borderId="0" xfId="0" applyFont="1" applyAlignment="1">
      <alignment wrapText="1"/>
    </xf>
    <xf numFmtId="0" fontId="2" fillId="0" borderId="0" xfId="0" applyFont="1" applyAlignment="1">
      <alignment horizontal="left" wrapText="1"/>
    </xf>
    <xf numFmtId="0" fontId="1" fillId="0" borderId="8" xfId="0" applyFont="1" applyBorder="1" applyAlignment="1">
      <alignment horizontal="left" wrapText="1"/>
    </xf>
    <xf numFmtId="0" fontId="5" fillId="0" borderId="0" xfId="0" applyFont="1" applyAlignment="1">
      <alignment horizontal="right"/>
    </xf>
    <xf numFmtId="0" fontId="2" fillId="3" borderId="0" xfId="0" applyFont="1" applyFill="1" applyAlignment="1">
      <alignment wrapText="1"/>
    </xf>
    <xf numFmtId="0" fontId="2" fillId="3" borderId="0" xfId="0" applyFont="1" applyFill="1" applyAlignment="1">
      <alignment horizontal="left" wrapText="1"/>
    </xf>
    <xf numFmtId="0" fontId="1" fillId="0" borderId="0" xfId="0" applyFont="1" applyAlignment="1">
      <alignment horizontal="left" wrapText="1"/>
    </xf>
    <xf numFmtId="0" fontId="1" fillId="0" borderId="8" xfId="0" applyFont="1" applyBorder="1" applyAlignment="1">
      <alignment horizontal="left"/>
    </xf>
    <xf numFmtId="49" fontId="4" fillId="0" borderId="0" xfId="0" applyNumberFormat="1" applyFont="1" applyAlignment="1">
      <alignment horizontal="left" vertical="top" wrapText="1"/>
    </xf>
    <xf numFmtId="49" fontId="9" fillId="0" borderId="0" xfId="0" applyNumberFormat="1" applyFont="1" applyAlignment="1">
      <alignment horizontal="left" vertical="top" wrapText="1"/>
    </xf>
    <xf numFmtId="49" fontId="9" fillId="0" borderId="6" xfId="0" applyNumberFormat="1" applyFont="1" applyBorder="1" applyAlignment="1">
      <alignment horizontal="left" vertical="top" wrapText="1"/>
    </xf>
    <xf numFmtId="49" fontId="9" fillId="0" borderId="8" xfId="0" applyNumberFormat="1" applyFont="1" applyBorder="1" applyAlignment="1">
      <alignment horizontal="left" vertical="top" wrapText="1"/>
    </xf>
    <xf numFmtId="49" fontId="9" fillId="0" borderId="9" xfId="0" applyNumberFormat="1" applyFont="1" applyBorder="1" applyAlignment="1">
      <alignment horizontal="left" vertical="top" wrapText="1"/>
    </xf>
    <xf numFmtId="0" fontId="3" fillId="0" borderId="0" xfId="0" applyFont="1" applyAlignment="1">
      <alignment horizontal="left"/>
    </xf>
    <xf numFmtId="0" fontId="4" fillId="0" borderId="0" xfId="0" applyFont="1" applyAlignment="1">
      <alignment horizontal="left" vertical="center"/>
    </xf>
    <xf numFmtId="0" fontId="4" fillId="0" borderId="0" xfId="0" applyFont="1" applyAlignment="1">
      <alignment horizontal="left" vertical="center" wrapText="1"/>
    </xf>
    <xf numFmtId="0" fontId="11" fillId="0" borderId="0" xfId="0" applyFont="1"/>
    <xf numFmtId="0" fontId="18" fillId="4" borderId="0" xfId="0" applyFont="1" applyFill="1"/>
    <xf numFmtId="165" fontId="18" fillId="4" borderId="0" xfId="0" applyNumberFormat="1" applyFont="1" applyFill="1"/>
    <xf numFmtId="0" fontId="2" fillId="4" borderId="0" xfId="0" applyFont="1" applyFill="1" applyAlignment="1">
      <alignment horizontal="right"/>
    </xf>
  </cellXfs>
  <cellStyles count="2">
    <cellStyle name="Normal" xfId="0" builtinId="0"/>
    <cellStyle name="Per cent" xfId="1" builtinId="5"/>
  </cellStyles>
  <dxfs count="7">
    <dxf>
      <font>
        <color auto="1"/>
      </font>
    </dxf>
    <dxf>
      <font>
        <color auto="1"/>
      </font>
    </dxf>
    <dxf>
      <font>
        <color rgb="FF006100"/>
      </font>
      <fill>
        <patternFill>
          <bgColor rgb="FFC6EFCE"/>
        </patternFill>
      </fill>
    </dxf>
    <dxf>
      <font>
        <color rgb="FF9C0006"/>
      </font>
      <fill>
        <patternFill>
          <bgColor rgb="FFFFC7CE"/>
        </patternFill>
      </fill>
    </dxf>
    <dxf>
      <font>
        <color auto="1"/>
      </font>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008000"/>
      <color rgb="FF0061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Exit pre 10 yr'!D12"/><Relationship Id="rId7" Type="http://schemas.openxmlformats.org/officeDocument/2006/relationships/hyperlink" Target="#'Rysaffe summary'!A1"/><Relationship Id="rId2" Type="http://schemas.openxmlformats.org/officeDocument/2006/relationships/hyperlink" Target="#'10 yr charge'!D11"/><Relationship Id="rId1" Type="http://schemas.openxmlformats.org/officeDocument/2006/relationships/hyperlink" Target="#'Entry charge'!D11"/><Relationship Id="rId6" Type="http://schemas.openxmlformats.org/officeDocument/2006/relationships/image" Target="../media/image1.png"/><Relationship Id="rId5" Type="http://schemas.openxmlformats.org/officeDocument/2006/relationships/hyperlink" Target="#'Exits post 10 yr'!D12"/><Relationship Id="rId4" Type="http://schemas.openxmlformats.org/officeDocument/2006/relationships/hyperlink" Target="#'Print screen'!A1"/></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Print screen'!A1"/><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Print screen'!A1"/><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3" Type="http://schemas.openxmlformats.org/officeDocument/2006/relationships/hyperlink" Target="#'Rysaffe breakdown'!A1"/><Relationship Id="rId2" Type="http://schemas.openxmlformats.org/officeDocument/2006/relationships/image" Target="../media/image1.pn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Rysaffe summary'!A1"/><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Print screen'!A1"/><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enu!A1"/><Relationship Id="rId1" Type="http://schemas.openxmlformats.org/officeDocument/2006/relationships/hyperlink" Target="#'Print screen'!A1"/></Relationships>
</file>

<file path=xl/drawings/_rels/drawing8.xml.rels><?xml version="1.0" encoding="UTF-8" standalone="yes"?>
<Relationships xmlns="http://schemas.openxmlformats.org/package/2006/relationships"><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2</xdr:col>
      <xdr:colOff>36765</xdr:colOff>
      <xdr:row>10</xdr:row>
      <xdr:rowOff>80010</xdr:rowOff>
    </xdr:from>
    <xdr:to>
      <xdr:col>4</xdr:col>
      <xdr:colOff>236790</xdr:colOff>
      <xdr:row>12</xdr:row>
      <xdr:rowOff>156210</xdr:rowOff>
    </xdr:to>
    <xdr:sp macro="[0]!Entry_charge" textlink="">
      <xdr:nvSpPr>
        <xdr:cNvPr id="3" name="Rounded Rectangle 2">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1031914" y="1899711"/>
          <a:ext cx="1422637" cy="431611"/>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Select</a:t>
          </a:r>
        </a:p>
      </xdr:txBody>
    </xdr:sp>
    <xdr:clientData/>
  </xdr:twoCellAnchor>
  <xdr:twoCellAnchor>
    <xdr:from>
      <xdr:col>2</xdr:col>
      <xdr:colOff>36255</xdr:colOff>
      <xdr:row>13</xdr:row>
      <xdr:rowOff>65794</xdr:rowOff>
    </xdr:from>
    <xdr:to>
      <xdr:col>4</xdr:col>
      <xdr:colOff>236280</xdr:colOff>
      <xdr:row>15</xdr:row>
      <xdr:rowOff>141994</xdr:rowOff>
    </xdr:to>
    <xdr:sp macro="[0]!Periodic_charge" textlink="">
      <xdr:nvSpPr>
        <xdr:cNvPr id="4" name="Rounded Rectangle 3">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1031404" y="2418611"/>
          <a:ext cx="1422637" cy="431611"/>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solidFill>
                <a:schemeClr val="dk1"/>
              </a:solidFill>
              <a:effectLst/>
              <a:latin typeface="+mn-lt"/>
              <a:ea typeface="+mn-ea"/>
              <a:cs typeface="+mn-cs"/>
            </a:rPr>
            <a:t>Select</a:t>
          </a:r>
          <a:endParaRPr lang="en-GB" sz="1100"/>
        </a:p>
      </xdr:txBody>
    </xdr:sp>
    <xdr:clientData/>
  </xdr:twoCellAnchor>
  <xdr:twoCellAnchor>
    <xdr:from>
      <xdr:col>2</xdr:col>
      <xdr:colOff>32445</xdr:colOff>
      <xdr:row>16</xdr:row>
      <xdr:rowOff>46232</xdr:rowOff>
    </xdr:from>
    <xdr:to>
      <xdr:col>4</xdr:col>
      <xdr:colOff>232470</xdr:colOff>
      <xdr:row>18</xdr:row>
      <xdr:rowOff>122432</xdr:rowOff>
    </xdr:to>
    <xdr:sp macro="[0]!Exit_charge" textlink="">
      <xdr:nvSpPr>
        <xdr:cNvPr id="5" name="Rounded Rectangle 4">
          <a:hlinkClick xmlns:r="http://schemas.openxmlformats.org/officeDocument/2006/relationships" r:id="rId3"/>
          <a:extLst>
            <a:ext uri="{FF2B5EF4-FFF2-40B4-BE49-F238E27FC236}">
              <a16:creationId xmlns:a16="http://schemas.microsoft.com/office/drawing/2014/main" id="{00000000-0008-0000-0000-000005000000}"/>
            </a:ext>
          </a:extLst>
        </xdr:cNvPr>
        <xdr:cNvSpPr/>
      </xdr:nvSpPr>
      <xdr:spPr>
        <a:xfrm>
          <a:off x="1027594" y="2932165"/>
          <a:ext cx="1422637" cy="43161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Select</a:t>
          </a:r>
        </a:p>
      </xdr:txBody>
    </xdr:sp>
    <xdr:clientData/>
  </xdr:twoCellAnchor>
  <xdr:twoCellAnchor>
    <xdr:from>
      <xdr:col>2</xdr:col>
      <xdr:colOff>28635</xdr:colOff>
      <xdr:row>22</xdr:row>
      <xdr:rowOff>3810</xdr:rowOff>
    </xdr:from>
    <xdr:to>
      <xdr:col>4</xdr:col>
      <xdr:colOff>228660</xdr:colOff>
      <xdr:row>24</xdr:row>
      <xdr:rowOff>80010</xdr:rowOff>
    </xdr:to>
    <xdr:sp macro="[0]!Go_to_print" textlink="">
      <xdr:nvSpPr>
        <xdr:cNvPr id="7" name="Rounded Rectangle 6">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1324035" y="4251960"/>
          <a:ext cx="1419225" cy="447675"/>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Select</a:t>
          </a:r>
        </a:p>
      </xdr:txBody>
    </xdr:sp>
    <xdr:clientData/>
  </xdr:twoCellAnchor>
  <xdr:twoCellAnchor>
    <xdr:from>
      <xdr:col>2</xdr:col>
      <xdr:colOff>28122</xdr:colOff>
      <xdr:row>19</xdr:row>
      <xdr:rowOff>22860</xdr:rowOff>
    </xdr:from>
    <xdr:to>
      <xdr:col>4</xdr:col>
      <xdr:colOff>228147</xdr:colOff>
      <xdr:row>21</xdr:row>
      <xdr:rowOff>99060</xdr:rowOff>
    </xdr:to>
    <xdr:sp macro="[0]!Exits_post_10_yr" textlink="">
      <xdr:nvSpPr>
        <xdr:cNvPr id="12" name="Rounded Rectangle 11">
          <a:hlinkClick xmlns:r="http://schemas.openxmlformats.org/officeDocument/2006/relationships" r:id="rId5"/>
          <a:extLst>
            <a:ext uri="{FF2B5EF4-FFF2-40B4-BE49-F238E27FC236}">
              <a16:creationId xmlns:a16="http://schemas.microsoft.com/office/drawing/2014/main" id="{00000000-0008-0000-0000-00000C000000}"/>
            </a:ext>
          </a:extLst>
        </xdr:cNvPr>
        <xdr:cNvSpPr/>
      </xdr:nvSpPr>
      <xdr:spPr>
        <a:xfrm>
          <a:off x="1323522" y="3718560"/>
          <a:ext cx="1419225" cy="447675"/>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Select</a:t>
          </a:r>
        </a:p>
      </xdr:txBody>
    </xdr:sp>
    <xdr:clientData/>
  </xdr:twoCellAnchor>
  <xdr:twoCellAnchor editAs="oneCell">
    <xdr:from>
      <xdr:col>1</xdr:col>
      <xdr:colOff>398060</xdr:colOff>
      <xdr:row>1</xdr:row>
      <xdr:rowOff>78187</xdr:rowOff>
    </xdr:from>
    <xdr:to>
      <xdr:col>4</xdr:col>
      <xdr:colOff>398060</xdr:colOff>
      <xdr:row>6</xdr:row>
      <xdr:rowOff>92406</xdr:rowOff>
    </xdr:to>
    <xdr:pic>
      <xdr:nvPicPr>
        <xdr:cNvPr id="6" name="Picture 5">
          <a:extLst>
            <a:ext uri="{FF2B5EF4-FFF2-40B4-BE49-F238E27FC236}">
              <a16:creationId xmlns:a16="http://schemas.microsoft.com/office/drawing/2014/main" id="{23554906-7E8B-4649-86EA-C063E4362BB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75280" y="270109"/>
          <a:ext cx="1940541" cy="931178"/>
        </a:xfrm>
        <a:prstGeom prst="rect">
          <a:avLst/>
        </a:prstGeom>
      </xdr:spPr>
    </xdr:pic>
    <xdr:clientData/>
  </xdr:twoCellAnchor>
  <xdr:twoCellAnchor>
    <xdr:from>
      <xdr:col>8</xdr:col>
      <xdr:colOff>581025</xdr:colOff>
      <xdr:row>10</xdr:row>
      <xdr:rowOff>85725</xdr:rowOff>
    </xdr:from>
    <xdr:to>
      <xdr:col>11</xdr:col>
      <xdr:colOff>171450</xdr:colOff>
      <xdr:row>12</xdr:row>
      <xdr:rowOff>161925</xdr:rowOff>
    </xdr:to>
    <xdr:sp macro="[0]!Go_to_print" textlink="">
      <xdr:nvSpPr>
        <xdr:cNvPr id="2" name="Rounded Rectangle 6">
          <a:hlinkClick xmlns:r="http://schemas.openxmlformats.org/officeDocument/2006/relationships" r:id="rId7"/>
          <a:extLst>
            <a:ext uri="{FF2B5EF4-FFF2-40B4-BE49-F238E27FC236}">
              <a16:creationId xmlns:a16="http://schemas.microsoft.com/office/drawing/2014/main" id="{F8916811-B2DC-4BAD-8EBD-208CF920DD56}"/>
            </a:ext>
          </a:extLst>
        </xdr:cNvPr>
        <xdr:cNvSpPr/>
      </xdr:nvSpPr>
      <xdr:spPr>
        <a:xfrm>
          <a:off x="5534025" y="2124075"/>
          <a:ext cx="1419225" cy="447675"/>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Select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1501589</xdr:colOff>
      <xdr:row>18</xdr:row>
      <xdr:rowOff>140161</xdr:rowOff>
    </xdr:from>
    <xdr:to>
      <xdr:col>6</xdr:col>
      <xdr:colOff>916715</xdr:colOff>
      <xdr:row>20</xdr:row>
      <xdr:rowOff>71993</xdr:rowOff>
    </xdr:to>
    <xdr:sp macro="[0]!Back_to_menu_entry" textlink="">
      <xdr:nvSpPr>
        <xdr:cNvPr id="7" name="Rounded Rectangle 6">
          <a:hlinkClick xmlns:r="http://schemas.openxmlformats.org/officeDocument/2006/relationships" r:id="rId1"/>
          <a:extLst>
            <a:ext uri="{FF2B5EF4-FFF2-40B4-BE49-F238E27FC236}">
              <a16:creationId xmlns:a16="http://schemas.microsoft.com/office/drawing/2014/main" id="{00000000-0008-0000-0100-000007000000}"/>
            </a:ext>
          </a:extLst>
        </xdr:cNvPr>
        <xdr:cNvSpPr/>
      </xdr:nvSpPr>
      <xdr:spPr>
        <a:xfrm>
          <a:off x="6480202" y="2917619"/>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 Menu</a:t>
          </a:r>
        </a:p>
      </xdr:txBody>
    </xdr:sp>
    <xdr:clientData/>
  </xdr:twoCellAnchor>
  <xdr:twoCellAnchor>
    <xdr:from>
      <xdr:col>5</xdr:col>
      <xdr:colOff>1508645</xdr:colOff>
      <xdr:row>16</xdr:row>
      <xdr:rowOff>120597</xdr:rowOff>
    </xdr:from>
    <xdr:to>
      <xdr:col>7</xdr:col>
      <xdr:colOff>3287</xdr:colOff>
      <xdr:row>18</xdr:row>
      <xdr:rowOff>52429</xdr:rowOff>
    </xdr:to>
    <xdr:sp macro="[0]!Go_to_print" textlink="">
      <xdr:nvSpPr>
        <xdr:cNvPr id="8" name="Rounded Rectangle 7">
          <a:hlinkClick xmlns:r="http://schemas.openxmlformats.org/officeDocument/2006/relationships" r:id="rId2"/>
          <a:extLst>
            <a:ext uri="{FF2B5EF4-FFF2-40B4-BE49-F238E27FC236}">
              <a16:creationId xmlns:a16="http://schemas.microsoft.com/office/drawing/2014/main" id="{00000000-0008-0000-0100-000008000000}"/>
            </a:ext>
          </a:extLst>
        </xdr:cNvPr>
        <xdr:cNvSpPr/>
      </xdr:nvSpPr>
      <xdr:spPr>
        <a:xfrm>
          <a:off x="6487258" y="2577887"/>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Print Summary</a:t>
          </a:r>
        </a:p>
      </xdr:txBody>
    </xdr:sp>
    <xdr:clientData/>
  </xdr:twoCellAnchor>
  <xdr:twoCellAnchor editAs="oneCell">
    <xdr:from>
      <xdr:col>1</xdr:col>
      <xdr:colOff>420872</xdr:colOff>
      <xdr:row>1</xdr:row>
      <xdr:rowOff>36918</xdr:rowOff>
    </xdr:from>
    <xdr:to>
      <xdr:col>2</xdr:col>
      <xdr:colOff>1645192</xdr:colOff>
      <xdr:row>6</xdr:row>
      <xdr:rowOff>118969</xdr:rowOff>
    </xdr:to>
    <xdr:pic>
      <xdr:nvPicPr>
        <xdr:cNvPr id="2" name="Picture 1">
          <a:extLst>
            <a:ext uri="{FF2B5EF4-FFF2-40B4-BE49-F238E27FC236}">
              <a16:creationId xmlns:a16="http://schemas.microsoft.com/office/drawing/2014/main" id="{257D3937-C7E3-44CB-A057-306025816DF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9767" y="206744"/>
          <a:ext cx="1940541" cy="9311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3006574</xdr:colOff>
      <xdr:row>26</xdr:row>
      <xdr:rowOff>76172</xdr:rowOff>
    </xdr:from>
    <xdr:to>
      <xdr:col>7</xdr:col>
      <xdr:colOff>11991</xdr:colOff>
      <xdr:row>28</xdr:row>
      <xdr:rowOff>10672</xdr:rowOff>
    </xdr:to>
    <xdr:sp macro="[0]!Back_to_menu_10" textlink="">
      <xdr:nvSpPr>
        <xdr:cNvPr id="4" name="Rounded Rectangle 3">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6597348" y="3334327"/>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a:t>
          </a:r>
          <a:r>
            <a:rPr lang="en-GB" sz="1100" baseline="0"/>
            <a:t> Menu</a:t>
          </a:r>
          <a:endParaRPr lang="en-GB" sz="1100"/>
        </a:p>
      </xdr:txBody>
    </xdr:sp>
    <xdr:clientData/>
  </xdr:twoCellAnchor>
  <xdr:twoCellAnchor>
    <xdr:from>
      <xdr:col>5</xdr:col>
      <xdr:colOff>3007728</xdr:colOff>
      <xdr:row>24</xdr:row>
      <xdr:rowOff>28450</xdr:rowOff>
    </xdr:from>
    <xdr:to>
      <xdr:col>7</xdr:col>
      <xdr:colOff>13145</xdr:colOff>
      <xdr:row>25</xdr:row>
      <xdr:rowOff>121700</xdr:rowOff>
    </xdr:to>
    <xdr:sp macro="[0]!Go_to_print" textlink="">
      <xdr:nvSpPr>
        <xdr:cNvPr id="7" name="Rounded Rectangle 6">
          <a:hlinkClick xmlns:r="http://schemas.openxmlformats.org/officeDocument/2006/relationships" r:id="rId2"/>
          <a:extLst>
            <a:ext uri="{FF2B5EF4-FFF2-40B4-BE49-F238E27FC236}">
              <a16:creationId xmlns:a16="http://schemas.microsoft.com/office/drawing/2014/main" id="{00000000-0008-0000-0200-000007000000}"/>
            </a:ext>
          </a:extLst>
        </xdr:cNvPr>
        <xdr:cNvSpPr/>
      </xdr:nvSpPr>
      <xdr:spPr>
        <a:xfrm>
          <a:off x="6598502" y="2969105"/>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Print Summary</a:t>
          </a:r>
        </a:p>
      </xdr:txBody>
    </xdr:sp>
    <xdr:clientData/>
  </xdr:twoCellAnchor>
  <xdr:twoCellAnchor editAs="oneCell">
    <xdr:from>
      <xdr:col>1</xdr:col>
      <xdr:colOff>379237</xdr:colOff>
      <xdr:row>1</xdr:row>
      <xdr:rowOff>32457</xdr:rowOff>
    </xdr:from>
    <xdr:to>
      <xdr:col>2</xdr:col>
      <xdr:colOff>1605403</xdr:colOff>
      <xdr:row>7</xdr:row>
      <xdr:rowOff>2315</xdr:rowOff>
    </xdr:to>
    <xdr:pic>
      <xdr:nvPicPr>
        <xdr:cNvPr id="2" name="Picture 1">
          <a:extLst>
            <a:ext uri="{FF2B5EF4-FFF2-40B4-BE49-F238E27FC236}">
              <a16:creationId xmlns:a16="http://schemas.microsoft.com/office/drawing/2014/main" id="{39E360BD-98EC-4466-BCE2-BF53577D2602}"/>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60262" y="413457"/>
          <a:ext cx="1940541" cy="95093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410400</xdr:colOff>
      <xdr:row>25</xdr:row>
      <xdr:rowOff>6808</xdr:rowOff>
    </xdr:from>
    <xdr:to>
      <xdr:col>9</xdr:col>
      <xdr:colOff>273317</xdr:colOff>
      <xdr:row>26</xdr:row>
      <xdr:rowOff>123824</xdr:rowOff>
    </xdr:to>
    <xdr:sp macro="[0]!Back_to_menu_10" textlink="">
      <xdr:nvSpPr>
        <xdr:cNvPr id="2" name="Rounded Rectangle 3">
          <a:hlinkClick xmlns:r="http://schemas.openxmlformats.org/officeDocument/2006/relationships" r:id="rId1"/>
          <a:extLst>
            <a:ext uri="{FF2B5EF4-FFF2-40B4-BE49-F238E27FC236}">
              <a16:creationId xmlns:a16="http://schemas.microsoft.com/office/drawing/2014/main" id="{CF306904-6639-475E-970D-5AEEEB78E09D}"/>
            </a:ext>
          </a:extLst>
        </xdr:cNvPr>
        <xdr:cNvSpPr/>
      </xdr:nvSpPr>
      <xdr:spPr>
        <a:xfrm>
          <a:off x="10916475" y="4369258"/>
          <a:ext cx="1139267" cy="278941"/>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050"/>
            <a:t>Back to</a:t>
          </a:r>
          <a:r>
            <a:rPr lang="en-GB" sz="1050" baseline="0"/>
            <a:t> Menu</a:t>
          </a:r>
          <a:endParaRPr lang="en-GB" sz="1050"/>
        </a:p>
      </xdr:txBody>
    </xdr:sp>
    <xdr:clientData/>
  </xdr:twoCellAnchor>
  <xdr:twoCellAnchor editAs="oneCell">
    <xdr:from>
      <xdr:col>1</xdr:col>
      <xdr:colOff>379237</xdr:colOff>
      <xdr:row>1</xdr:row>
      <xdr:rowOff>32457</xdr:rowOff>
    </xdr:from>
    <xdr:to>
      <xdr:col>2</xdr:col>
      <xdr:colOff>1608578</xdr:colOff>
      <xdr:row>7</xdr:row>
      <xdr:rowOff>2315</xdr:rowOff>
    </xdr:to>
    <xdr:pic>
      <xdr:nvPicPr>
        <xdr:cNvPr id="4" name="Picture 3">
          <a:extLst>
            <a:ext uri="{FF2B5EF4-FFF2-40B4-BE49-F238E27FC236}">
              <a16:creationId xmlns:a16="http://schemas.microsoft.com/office/drawing/2014/main" id="{13A4934C-F332-4EB0-A584-B64A841AD93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60262" y="413457"/>
          <a:ext cx="1940541" cy="950933"/>
        </a:xfrm>
        <a:prstGeom prst="rect">
          <a:avLst/>
        </a:prstGeom>
      </xdr:spPr>
    </xdr:pic>
    <xdr:clientData/>
  </xdr:twoCellAnchor>
  <xdr:twoCellAnchor>
    <xdr:from>
      <xdr:col>7</xdr:col>
      <xdr:colOff>417635</xdr:colOff>
      <xdr:row>22</xdr:row>
      <xdr:rowOff>124558</xdr:rowOff>
    </xdr:from>
    <xdr:to>
      <xdr:col>9</xdr:col>
      <xdr:colOff>280552</xdr:colOff>
      <xdr:row>24</xdr:row>
      <xdr:rowOff>54174</xdr:rowOff>
    </xdr:to>
    <xdr:sp macro="[0]!Go_to_print" textlink="">
      <xdr:nvSpPr>
        <xdr:cNvPr id="5" name="Rounded Rectangle 6">
          <a:hlinkClick xmlns:r="http://schemas.openxmlformats.org/officeDocument/2006/relationships" r:id="rId3"/>
          <a:extLst>
            <a:ext uri="{FF2B5EF4-FFF2-40B4-BE49-F238E27FC236}">
              <a16:creationId xmlns:a16="http://schemas.microsoft.com/office/drawing/2014/main" id="{12093C7B-A65E-44EB-9F46-AF5B40020630}"/>
            </a:ext>
          </a:extLst>
        </xdr:cNvPr>
        <xdr:cNvSpPr/>
      </xdr:nvSpPr>
      <xdr:spPr>
        <a:xfrm>
          <a:off x="9686193" y="3780693"/>
          <a:ext cx="1079186"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050"/>
            <a:t>See breakdown</a:t>
          </a:r>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413576</xdr:colOff>
      <xdr:row>15</xdr:row>
      <xdr:rowOff>47597</xdr:rowOff>
    </xdr:from>
    <xdr:to>
      <xdr:col>9</xdr:col>
      <xdr:colOff>276493</xdr:colOff>
      <xdr:row>16</xdr:row>
      <xdr:rowOff>138405</xdr:rowOff>
    </xdr:to>
    <xdr:sp macro="[0]!Back_to_menu_10" textlink="">
      <xdr:nvSpPr>
        <xdr:cNvPr id="2" name="Rounded Rectangle 3">
          <a:hlinkClick xmlns:r="http://schemas.openxmlformats.org/officeDocument/2006/relationships" r:id="rId1"/>
          <a:extLst>
            <a:ext uri="{FF2B5EF4-FFF2-40B4-BE49-F238E27FC236}">
              <a16:creationId xmlns:a16="http://schemas.microsoft.com/office/drawing/2014/main" id="{1BB1C0BF-54CA-41F6-9ED6-D0698E788D91}"/>
            </a:ext>
          </a:extLst>
        </xdr:cNvPr>
        <xdr:cNvSpPr/>
      </xdr:nvSpPr>
      <xdr:spPr>
        <a:xfrm>
          <a:off x="9682134" y="2736578"/>
          <a:ext cx="1079186"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050"/>
            <a:t>Back to</a:t>
          </a:r>
          <a:r>
            <a:rPr lang="en-GB" sz="1050" baseline="0"/>
            <a:t> Menu</a:t>
          </a:r>
          <a:endParaRPr lang="en-GB" sz="1050"/>
        </a:p>
      </xdr:txBody>
    </xdr:sp>
    <xdr:clientData/>
  </xdr:twoCellAnchor>
  <xdr:twoCellAnchor>
    <xdr:from>
      <xdr:col>7</xdr:col>
      <xdr:colOff>410578</xdr:colOff>
      <xdr:row>13</xdr:row>
      <xdr:rowOff>44812</xdr:rowOff>
    </xdr:from>
    <xdr:to>
      <xdr:col>9</xdr:col>
      <xdr:colOff>273495</xdr:colOff>
      <xdr:row>14</xdr:row>
      <xdr:rowOff>151837</xdr:rowOff>
    </xdr:to>
    <xdr:sp macro="[0]!Go_to_print" textlink="">
      <xdr:nvSpPr>
        <xdr:cNvPr id="3" name="Rounded Rectangle 6">
          <a:hlinkClick xmlns:r="http://schemas.openxmlformats.org/officeDocument/2006/relationships" r:id="rId2"/>
          <a:extLst>
            <a:ext uri="{FF2B5EF4-FFF2-40B4-BE49-F238E27FC236}">
              <a16:creationId xmlns:a16="http://schemas.microsoft.com/office/drawing/2014/main" id="{4110CE5C-F417-43AF-A04D-2434BF653D2A}"/>
            </a:ext>
          </a:extLst>
        </xdr:cNvPr>
        <xdr:cNvSpPr/>
      </xdr:nvSpPr>
      <xdr:spPr>
        <a:xfrm>
          <a:off x="10126078" y="2397487"/>
          <a:ext cx="1139267" cy="288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lIns="36000" rIns="36000" rtlCol="0" anchor="ctr"/>
        <a:lstStyle/>
        <a:p>
          <a:pPr algn="ctr"/>
          <a:r>
            <a:rPr lang="en-GB" sz="1050"/>
            <a:t>Back to summary</a:t>
          </a:r>
          <a:endParaRPr lang="en-GB" sz="1100"/>
        </a:p>
      </xdr:txBody>
    </xdr:sp>
    <xdr:clientData/>
  </xdr:twoCellAnchor>
  <xdr:twoCellAnchor editAs="oneCell">
    <xdr:from>
      <xdr:col>1</xdr:col>
      <xdr:colOff>379237</xdr:colOff>
      <xdr:row>1</xdr:row>
      <xdr:rowOff>32457</xdr:rowOff>
    </xdr:from>
    <xdr:to>
      <xdr:col>2</xdr:col>
      <xdr:colOff>1608578</xdr:colOff>
      <xdr:row>7</xdr:row>
      <xdr:rowOff>2315</xdr:rowOff>
    </xdr:to>
    <xdr:pic>
      <xdr:nvPicPr>
        <xdr:cNvPr id="4" name="Picture 3">
          <a:extLst>
            <a:ext uri="{FF2B5EF4-FFF2-40B4-BE49-F238E27FC236}">
              <a16:creationId xmlns:a16="http://schemas.microsoft.com/office/drawing/2014/main" id="{D42D4FFB-880F-414C-A27E-7FFB9835DDC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60262" y="413457"/>
          <a:ext cx="1940541" cy="95093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2923073</xdr:colOff>
      <xdr:row>30</xdr:row>
      <xdr:rowOff>74942</xdr:rowOff>
    </xdr:from>
    <xdr:to>
      <xdr:col>7</xdr:col>
      <xdr:colOff>12019</xdr:colOff>
      <xdr:row>31</xdr:row>
      <xdr:rowOff>161632</xdr:rowOff>
    </xdr:to>
    <xdr:sp macro="[0]!Back_to_menu_exit" textlink="">
      <xdr:nvSpPr>
        <xdr:cNvPr id="5" name="Rounded Rectangle 4">
          <a:hlinkClick xmlns:r="http://schemas.openxmlformats.org/officeDocument/2006/relationships" r:id="rId1"/>
          <a:extLst>
            <a:ext uri="{FF2B5EF4-FFF2-40B4-BE49-F238E27FC236}">
              <a16:creationId xmlns:a16="http://schemas.microsoft.com/office/drawing/2014/main" id="{00000000-0008-0000-0300-000005000000}"/>
            </a:ext>
          </a:extLst>
        </xdr:cNvPr>
        <xdr:cNvSpPr/>
      </xdr:nvSpPr>
      <xdr:spPr>
        <a:xfrm>
          <a:off x="6961358" y="3932173"/>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 Menu</a:t>
          </a:r>
        </a:p>
      </xdr:txBody>
    </xdr:sp>
    <xdr:clientData/>
  </xdr:twoCellAnchor>
  <xdr:twoCellAnchor>
    <xdr:from>
      <xdr:col>5</xdr:col>
      <xdr:colOff>2925828</xdr:colOff>
      <xdr:row>28</xdr:row>
      <xdr:rowOff>74547</xdr:rowOff>
    </xdr:from>
    <xdr:to>
      <xdr:col>7</xdr:col>
      <xdr:colOff>14774</xdr:colOff>
      <xdr:row>29</xdr:row>
      <xdr:rowOff>160273</xdr:rowOff>
    </xdr:to>
    <xdr:sp macro="[0]!Go_to_print" textlink="">
      <xdr:nvSpPr>
        <xdr:cNvPr id="8" name="Rounded Rectangle 7">
          <a:hlinkClick xmlns:r="http://schemas.openxmlformats.org/officeDocument/2006/relationships" r:id="rId2"/>
          <a:extLst>
            <a:ext uri="{FF2B5EF4-FFF2-40B4-BE49-F238E27FC236}">
              <a16:creationId xmlns:a16="http://schemas.microsoft.com/office/drawing/2014/main" id="{00000000-0008-0000-0300-000008000000}"/>
            </a:ext>
          </a:extLst>
        </xdr:cNvPr>
        <xdr:cNvSpPr/>
      </xdr:nvSpPr>
      <xdr:spPr>
        <a:xfrm>
          <a:off x="6964113" y="3601159"/>
          <a:ext cx="1080000" cy="251035"/>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Print Summary</a:t>
          </a:r>
        </a:p>
      </xdr:txBody>
    </xdr:sp>
    <xdr:clientData/>
  </xdr:twoCellAnchor>
  <xdr:twoCellAnchor editAs="oneCell">
    <xdr:from>
      <xdr:col>1</xdr:col>
      <xdr:colOff>408214</xdr:colOff>
      <xdr:row>1</xdr:row>
      <xdr:rowOff>72572</xdr:rowOff>
    </xdr:from>
    <xdr:to>
      <xdr:col>2</xdr:col>
      <xdr:colOff>1635287</xdr:colOff>
      <xdr:row>7</xdr:row>
      <xdr:rowOff>14964</xdr:rowOff>
    </xdr:to>
    <xdr:pic>
      <xdr:nvPicPr>
        <xdr:cNvPr id="2" name="Picture 1">
          <a:extLst>
            <a:ext uri="{FF2B5EF4-FFF2-40B4-BE49-F238E27FC236}">
              <a16:creationId xmlns:a16="http://schemas.microsoft.com/office/drawing/2014/main" id="{198C84B6-A637-45BD-B474-640E89440C2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71285" y="244929"/>
          <a:ext cx="1940541" cy="9311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3011238</xdr:colOff>
      <xdr:row>17</xdr:row>
      <xdr:rowOff>155503</xdr:rowOff>
    </xdr:from>
    <xdr:to>
      <xdr:col>7</xdr:col>
      <xdr:colOff>31005</xdr:colOff>
      <xdr:row>19</xdr:row>
      <xdr:rowOff>84621</xdr:rowOff>
    </xdr:to>
    <xdr:sp macro="[0]!Go_to_print" textlink="">
      <xdr:nvSpPr>
        <xdr:cNvPr id="6" name="Rounded 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a:xfrm>
          <a:off x="7701090" y="3101795"/>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Print Summary</a:t>
          </a:r>
        </a:p>
      </xdr:txBody>
    </xdr:sp>
    <xdr:clientData/>
  </xdr:twoCellAnchor>
  <xdr:twoCellAnchor>
    <xdr:from>
      <xdr:col>5</xdr:col>
      <xdr:colOff>3008463</xdr:colOff>
      <xdr:row>19</xdr:row>
      <xdr:rowOff>155993</xdr:rowOff>
    </xdr:from>
    <xdr:to>
      <xdr:col>7</xdr:col>
      <xdr:colOff>28230</xdr:colOff>
      <xdr:row>21</xdr:row>
      <xdr:rowOff>85112</xdr:rowOff>
    </xdr:to>
    <xdr:sp macro="[0]!Back_to_menu_exit" textlink="">
      <xdr:nvSpPr>
        <xdr:cNvPr id="8" name="Rounded Rectangle 7">
          <a:hlinkClick xmlns:r="http://schemas.openxmlformats.org/officeDocument/2006/relationships" r:id="rId2"/>
          <a:extLst>
            <a:ext uri="{FF2B5EF4-FFF2-40B4-BE49-F238E27FC236}">
              <a16:creationId xmlns:a16="http://schemas.microsoft.com/office/drawing/2014/main" id="{00000000-0008-0000-0400-000008000000}"/>
            </a:ext>
          </a:extLst>
        </xdr:cNvPr>
        <xdr:cNvSpPr/>
      </xdr:nvSpPr>
      <xdr:spPr>
        <a:xfrm>
          <a:off x="7698315" y="3425167"/>
          <a:ext cx="1080000" cy="2520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 Menu</a:t>
          </a:r>
        </a:p>
      </xdr:txBody>
    </xdr:sp>
    <xdr:clientData/>
  </xdr:twoCellAnchor>
  <xdr:twoCellAnchor editAs="oneCell">
    <xdr:from>
      <xdr:col>1</xdr:col>
      <xdr:colOff>413179</xdr:colOff>
      <xdr:row>1</xdr:row>
      <xdr:rowOff>27055</xdr:rowOff>
    </xdr:from>
    <xdr:to>
      <xdr:col>2</xdr:col>
      <xdr:colOff>1641346</xdr:colOff>
      <xdr:row>6</xdr:row>
      <xdr:rowOff>149808</xdr:rowOff>
    </xdr:to>
    <xdr:pic>
      <xdr:nvPicPr>
        <xdr:cNvPr id="2" name="Picture 1">
          <a:extLst>
            <a:ext uri="{FF2B5EF4-FFF2-40B4-BE49-F238E27FC236}">
              <a16:creationId xmlns:a16="http://schemas.microsoft.com/office/drawing/2014/main" id="{40BB3A00-54DE-452C-9DD1-A8D03D6E1028}"/>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94204" y="408055"/>
          <a:ext cx="1942542" cy="94190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57150</xdr:colOff>
      <xdr:row>4</xdr:row>
      <xdr:rowOff>171450</xdr:rowOff>
    </xdr:from>
    <xdr:to>
      <xdr:col>4</xdr:col>
      <xdr:colOff>504825</xdr:colOff>
      <xdr:row>7</xdr:row>
      <xdr:rowOff>47625</xdr:rowOff>
    </xdr:to>
    <xdr:sp macro="[0]!Back_to_menu_exit" textlink="">
      <xdr:nvSpPr>
        <xdr:cNvPr id="4" name="Rounded Rectangle 3">
          <a:hlinkClick xmlns:r="http://schemas.openxmlformats.org/officeDocument/2006/relationships" r:id="rId1"/>
          <a:extLst>
            <a:ext uri="{FF2B5EF4-FFF2-40B4-BE49-F238E27FC236}">
              <a16:creationId xmlns:a16="http://schemas.microsoft.com/office/drawing/2014/main" id="{00000000-0008-0000-0500-000004000000}"/>
            </a:ext>
          </a:extLst>
        </xdr:cNvPr>
        <xdr:cNvSpPr/>
      </xdr:nvSpPr>
      <xdr:spPr>
        <a:xfrm>
          <a:off x="3905250" y="762000"/>
          <a:ext cx="1419225" cy="457200"/>
        </a:xfrm>
        <a:prstGeom prst="round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a:t>Back to Menu</a:t>
          </a:r>
        </a:p>
      </xdr:txBody>
    </xdr:sp>
    <xdr:clientData/>
  </xdr:twoCellAnchor>
  <xdr:twoCellAnchor>
    <xdr:from>
      <xdr:col>5</xdr:col>
      <xdr:colOff>62119</xdr:colOff>
      <xdr:row>2</xdr:row>
      <xdr:rowOff>165654</xdr:rowOff>
    </xdr:from>
    <xdr:to>
      <xdr:col>8</xdr:col>
      <xdr:colOff>486603</xdr:colOff>
      <xdr:row>3</xdr:row>
      <xdr:rowOff>14714</xdr:rowOff>
    </xdr:to>
    <xdr:sp macro="" textlink="">
      <xdr:nvSpPr>
        <xdr:cNvPr id="2" name="Rectangle 1">
          <a:extLst>
            <a:ext uri="{FF2B5EF4-FFF2-40B4-BE49-F238E27FC236}">
              <a16:creationId xmlns:a16="http://schemas.microsoft.com/office/drawing/2014/main" id="{00000000-0008-0000-0500-000002000000}"/>
            </a:ext>
          </a:extLst>
        </xdr:cNvPr>
        <xdr:cNvSpPr/>
      </xdr:nvSpPr>
      <xdr:spPr>
        <a:xfrm>
          <a:off x="5487228" y="538371"/>
          <a:ext cx="6822799" cy="45772"/>
        </a:xfrm>
        <a:prstGeom prst="rect">
          <a:avLst/>
        </a:prstGeom>
        <a:gradFill flip="none" rotWithShape="1">
          <a:gsLst>
            <a:gs pos="0">
              <a:srgbClr val="006150"/>
            </a:gs>
            <a:gs pos="86256">
              <a:srgbClr val="76B781"/>
            </a:gs>
            <a:gs pos="93736">
              <a:srgbClr val="B0D2C0"/>
            </a:gs>
            <a:gs pos="71000">
              <a:srgbClr val="008000"/>
            </a:gs>
            <a:gs pos="100000">
              <a:schemeClr val="accent1">
                <a:tint val="23500"/>
                <a:satMod val="160000"/>
              </a:schemeClr>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8"/>
  <sheetViews>
    <sheetView showGridLines="0" showRowColHeaders="0" tabSelected="1" zoomScaleNormal="100" workbookViewId="0">
      <selection activeCell="L17" sqref="L17"/>
    </sheetView>
  </sheetViews>
  <sheetFormatPr defaultColWidth="0" defaultRowHeight="14.25" zeroHeight="1" x14ac:dyDescent="0.2"/>
  <cols>
    <col min="1" max="1" width="8.7109375" style="1" customWidth="1"/>
    <col min="2" max="2" width="10.7109375" style="1" customWidth="1"/>
    <col min="3" max="13" width="9.140625" style="1" customWidth="1"/>
    <col min="14" max="14" width="18" style="1" customWidth="1"/>
    <col min="15" max="15" width="9.140625" style="1" customWidth="1"/>
    <col min="16" max="16" width="8.7109375" style="1" customWidth="1"/>
    <col min="17" max="16384" width="9.140625" style="1" hidden="1"/>
  </cols>
  <sheetData>
    <row r="1" spans="2:15" ht="30" customHeight="1" thickBot="1" x14ac:dyDescent="0.25"/>
    <row r="2" spans="2:15" ht="15" thickTop="1" x14ac:dyDescent="0.2">
      <c r="B2" s="13"/>
      <c r="C2" s="14"/>
      <c r="D2" s="14"/>
      <c r="E2" s="14"/>
      <c r="F2" s="14"/>
      <c r="G2" s="14"/>
      <c r="H2" s="14"/>
      <c r="I2" s="14"/>
      <c r="J2" s="14"/>
      <c r="K2" s="14"/>
      <c r="L2" s="14"/>
      <c r="M2" s="14"/>
      <c r="N2" s="14"/>
      <c r="O2" s="15"/>
    </row>
    <row r="3" spans="2:15" x14ac:dyDescent="0.2">
      <c r="B3" s="16"/>
      <c r="O3" s="17"/>
    </row>
    <row r="4" spans="2:15" x14ac:dyDescent="0.2">
      <c r="B4" s="16"/>
      <c r="O4" s="17"/>
    </row>
    <row r="5" spans="2:15" ht="15" x14ac:dyDescent="0.25">
      <c r="B5" s="16"/>
      <c r="F5" s="29" t="s">
        <v>57</v>
      </c>
      <c r="O5" s="17"/>
    </row>
    <row r="6" spans="2:15" x14ac:dyDescent="0.2">
      <c r="B6" s="16"/>
      <c r="O6" s="17"/>
    </row>
    <row r="7" spans="2:15" x14ac:dyDescent="0.2">
      <c r="B7" s="16"/>
      <c r="O7" s="17"/>
    </row>
    <row r="8" spans="2:15" x14ac:dyDescent="0.2">
      <c r="B8" s="16"/>
      <c r="O8" s="17"/>
    </row>
    <row r="9" spans="2:15" ht="15" customHeight="1" x14ac:dyDescent="0.2">
      <c r="B9" s="16"/>
      <c r="C9" s="78" t="s">
        <v>58</v>
      </c>
      <c r="D9" s="78"/>
      <c r="E9" s="78"/>
      <c r="F9" s="78"/>
      <c r="G9" s="78"/>
      <c r="H9" s="78"/>
      <c r="I9" s="78"/>
      <c r="J9" s="78"/>
      <c r="K9" s="78"/>
      <c r="L9" s="78"/>
      <c r="M9" s="78"/>
      <c r="N9" s="78"/>
      <c r="O9" s="17"/>
    </row>
    <row r="10" spans="2:15" x14ac:dyDescent="0.2">
      <c r="B10" s="16"/>
      <c r="C10" s="78"/>
      <c r="D10" s="78"/>
      <c r="E10" s="78"/>
      <c r="F10" s="78"/>
      <c r="G10" s="78"/>
      <c r="H10" s="78"/>
      <c r="I10" s="78"/>
      <c r="J10" s="78"/>
      <c r="K10" s="78"/>
      <c r="L10" s="78"/>
      <c r="M10" s="78"/>
      <c r="N10" s="78"/>
      <c r="O10" s="17"/>
    </row>
    <row r="11" spans="2:15" ht="15" customHeight="1" x14ac:dyDescent="0.2">
      <c r="B11" s="16"/>
      <c r="M11" s="80" t="s">
        <v>123</v>
      </c>
      <c r="N11" s="80"/>
      <c r="O11" s="81"/>
    </row>
    <row r="12" spans="2:15" ht="15" customHeight="1" x14ac:dyDescent="0.25">
      <c r="B12" s="16"/>
      <c r="F12" s="29" t="s">
        <v>3</v>
      </c>
      <c r="M12" s="80"/>
      <c r="N12" s="80"/>
      <c r="O12" s="81"/>
    </row>
    <row r="13" spans="2:15" ht="14.25" customHeight="1" x14ac:dyDescent="0.2">
      <c r="B13" s="16"/>
      <c r="M13" s="80"/>
      <c r="N13" s="80"/>
      <c r="O13" s="81"/>
    </row>
    <row r="14" spans="2:15" x14ac:dyDescent="0.2">
      <c r="B14" s="16"/>
      <c r="M14" s="80"/>
      <c r="N14" s="80"/>
      <c r="O14" s="81"/>
    </row>
    <row r="15" spans="2:15" ht="15" x14ac:dyDescent="0.25">
      <c r="B15" s="16"/>
      <c r="F15" s="29" t="s">
        <v>39</v>
      </c>
      <c r="O15" s="17"/>
    </row>
    <row r="16" spans="2:15" x14ac:dyDescent="0.2">
      <c r="B16" s="16"/>
      <c r="O16" s="17"/>
    </row>
    <row r="17" spans="2:15" x14ac:dyDescent="0.2">
      <c r="B17" s="16"/>
      <c r="O17" s="17"/>
    </row>
    <row r="18" spans="2:15" ht="15" x14ac:dyDescent="0.25">
      <c r="B18" s="16"/>
      <c r="F18" s="29" t="s">
        <v>40</v>
      </c>
      <c r="O18" s="17"/>
    </row>
    <row r="19" spans="2:15" x14ac:dyDescent="0.2">
      <c r="B19" s="16"/>
      <c r="O19" s="17"/>
    </row>
    <row r="20" spans="2:15" x14ac:dyDescent="0.2">
      <c r="B20" s="16"/>
      <c r="O20" s="17"/>
    </row>
    <row r="21" spans="2:15" ht="15" x14ac:dyDescent="0.25">
      <c r="B21" s="16"/>
      <c r="F21" s="29" t="s">
        <v>41</v>
      </c>
      <c r="O21" s="17"/>
    </row>
    <row r="22" spans="2:15" x14ac:dyDescent="0.2">
      <c r="B22" s="16"/>
      <c r="O22" s="17"/>
    </row>
    <row r="23" spans="2:15" x14ac:dyDescent="0.2">
      <c r="B23" s="16"/>
      <c r="O23" s="17"/>
    </row>
    <row r="24" spans="2:15" ht="15" x14ac:dyDescent="0.25">
      <c r="B24" s="16"/>
      <c r="F24" s="61" t="s">
        <v>42</v>
      </c>
      <c r="O24" s="17"/>
    </row>
    <row r="25" spans="2:15" x14ac:dyDescent="0.2">
      <c r="B25" s="16"/>
      <c r="O25" s="17"/>
    </row>
    <row r="26" spans="2:15" x14ac:dyDescent="0.2">
      <c r="B26" s="16"/>
      <c r="O26" s="17"/>
    </row>
    <row r="27" spans="2:15" ht="15.75" customHeight="1" thickBot="1" x14ac:dyDescent="0.25">
      <c r="B27" s="18"/>
      <c r="C27" s="19"/>
      <c r="D27" s="19"/>
      <c r="E27" s="19"/>
      <c r="F27" s="19"/>
      <c r="G27" s="79" t="s">
        <v>36</v>
      </c>
      <c r="H27" s="79"/>
      <c r="I27" s="79"/>
      <c r="J27" s="79"/>
      <c r="K27" s="19"/>
      <c r="L27" s="19"/>
      <c r="M27" s="19"/>
      <c r="N27" s="19"/>
      <c r="O27" s="20"/>
    </row>
    <row r="28" spans="2:15" ht="30" customHeight="1" thickTop="1" x14ac:dyDescent="0.2"/>
  </sheetData>
  <sheetProtection algorithmName="SHA-512" hashValue="YiKuFMSfA6XCHo5hjC9/5oBEWeKAKh1WoJMsfou5U0qRYM+owuGepaQQulkRsu5IKNVEzqXV3lnUEEcdvmBB8Q==" saltValue="3B1jOU45PvfwEcHTgBQR+A==" spinCount="100000" sheet="1" selectLockedCells="1" selectUnlockedCells="1"/>
  <mergeCells count="3">
    <mergeCell ref="C9:N10"/>
    <mergeCell ref="G27:J27"/>
    <mergeCell ref="M11:O14"/>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E302F-A5F4-40F1-8A9F-9D3A33948044}">
  <dimension ref="A1:B3"/>
  <sheetViews>
    <sheetView workbookViewId="0">
      <selection activeCell="B7" sqref="B7"/>
    </sheetView>
  </sheetViews>
  <sheetFormatPr defaultRowHeight="15" x14ac:dyDescent="0.25"/>
  <cols>
    <col min="1" max="1" width="8" bestFit="1" customWidth="1"/>
    <col min="2" max="2" width="48" bestFit="1" customWidth="1"/>
  </cols>
  <sheetData>
    <row r="1" spans="1:2" x14ac:dyDescent="0.25">
      <c r="A1" s="33" t="s">
        <v>54</v>
      </c>
      <c r="B1" s="33" t="s">
        <v>55</v>
      </c>
    </row>
    <row r="2" spans="1:2" x14ac:dyDescent="0.25">
      <c r="A2" s="32">
        <v>45992</v>
      </c>
      <c r="B2" t="s">
        <v>56</v>
      </c>
    </row>
    <row r="3" spans="1:2" x14ac:dyDescent="0.25">
      <c r="A3" s="32">
        <v>46082</v>
      </c>
      <c r="B3" t="s">
        <v>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31"/>
  <sheetViews>
    <sheetView showGridLines="0" showRowColHeaders="0" zoomScaleNormal="100" workbookViewId="0">
      <selection activeCell="D11" sqref="D11"/>
    </sheetView>
  </sheetViews>
  <sheetFormatPr defaultColWidth="0" defaultRowHeight="12.75" zeroHeight="1" x14ac:dyDescent="0.2"/>
  <cols>
    <col min="1" max="1" width="8.7109375" style="2" customWidth="1"/>
    <col min="2" max="2" width="10.7109375" style="2" customWidth="1"/>
    <col min="3" max="3" width="39.140625" style="2" customWidth="1"/>
    <col min="4" max="4" width="14.5703125" style="2" customWidth="1"/>
    <col min="5" max="5" width="11.140625" style="2" customWidth="1"/>
    <col min="6" max="6" width="25" style="2" customWidth="1"/>
    <col min="7" max="7" width="13.85546875" style="2" customWidth="1"/>
    <col min="8" max="10" width="9.140625" style="2" customWidth="1"/>
    <col min="11" max="11" width="8.7109375" style="2" customWidth="1"/>
    <col min="12" max="12" width="0" style="2" hidden="1" customWidth="1"/>
    <col min="13" max="16384" width="9.140625" style="2" hidden="1"/>
  </cols>
  <sheetData>
    <row r="1" spans="2:10" ht="30" customHeight="1" thickBot="1" x14ac:dyDescent="0.25"/>
    <row r="2" spans="2:10" ht="13.5" thickTop="1" x14ac:dyDescent="0.2">
      <c r="B2" s="4"/>
      <c r="C2" s="5"/>
      <c r="D2" s="5"/>
      <c r="E2" s="5"/>
      <c r="F2" s="5"/>
      <c r="G2" s="5"/>
      <c r="H2" s="5"/>
      <c r="I2" s="5"/>
      <c r="J2" s="6"/>
    </row>
    <row r="3" spans="2:10" x14ac:dyDescent="0.2">
      <c r="B3" s="7"/>
      <c r="J3" s="8"/>
    </row>
    <row r="4" spans="2:10" x14ac:dyDescent="0.2">
      <c r="B4" s="7"/>
      <c r="J4" s="8"/>
    </row>
    <row r="5" spans="2:10" ht="15" customHeight="1" x14ac:dyDescent="0.2">
      <c r="B5" s="7"/>
      <c r="C5" s="82" t="s">
        <v>59</v>
      </c>
      <c r="D5" s="82"/>
      <c r="E5" s="82"/>
      <c r="J5" s="8"/>
    </row>
    <row r="6" spans="2:10" x14ac:dyDescent="0.2">
      <c r="B6" s="7"/>
      <c r="J6" s="8"/>
    </row>
    <row r="7" spans="2:10" x14ac:dyDescent="0.2">
      <c r="B7" s="7"/>
      <c r="J7" s="8"/>
    </row>
    <row r="8" spans="2:10" x14ac:dyDescent="0.2">
      <c r="B8" s="7"/>
      <c r="J8" s="8"/>
    </row>
    <row r="9" spans="2:10" x14ac:dyDescent="0.2">
      <c r="B9" s="7"/>
      <c r="J9" s="8"/>
    </row>
    <row r="10" spans="2:10" x14ac:dyDescent="0.2">
      <c r="B10" s="7"/>
      <c r="J10" s="8"/>
    </row>
    <row r="11" spans="2:10" ht="14.25" x14ac:dyDescent="0.2">
      <c r="B11" s="7"/>
      <c r="C11" s="2" t="s">
        <v>64</v>
      </c>
      <c r="D11" s="45">
        <v>0</v>
      </c>
      <c r="E11" s="3"/>
      <c r="F11" s="2" t="s">
        <v>1</v>
      </c>
      <c r="G11" s="45">
        <v>325000</v>
      </c>
      <c r="J11" s="8"/>
    </row>
    <row r="12" spans="2:10" ht="14.25" x14ac:dyDescent="0.2">
      <c r="B12" s="7"/>
      <c r="C12" s="2" t="s">
        <v>19</v>
      </c>
      <c r="D12" s="45">
        <v>0</v>
      </c>
      <c r="E12" s="3"/>
      <c r="F12" s="2" t="s">
        <v>80</v>
      </c>
      <c r="G12" s="45">
        <v>0</v>
      </c>
      <c r="J12" s="8"/>
    </row>
    <row r="13" spans="2:10" x14ac:dyDescent="0.2">
      <c r="B13" s="7"/>
      <c r="J13" s="8"/>
    </row>
    <row r="14" spans="2:10" x14ac:dyDescent="0.2">
      <c r="B14" s="7"/>
      <c r="J14" s="8"/>
    </row>
    <row r="15" spans="2:10" ht="13.5" thickBot="1" x14ac:dyDescent="0.25">
      <c r="B15" s="7"/>
      <c r="C15" s="41" t="s">
        <v>78</v>
      </c>
      <c r="D15" s="36">
        <f>MAX((Gift_entry+pre_gifts_entry-nrb_entry-exempt)*0.2,0)</f>
        <v>0</v>
      </c>
      <c r="E15" s="3"/>
      <c r="J15" s="8"/>
    </row>
    <row r="16" spans="2:10" ht="14.25" thickTop="1" thickBot="1" x14ac:dyDescent="0.25">
      <c r="B16" s="7"/>
      <c r="C16" s="41" t="s">
        <v>79</v>
      </c>
      <c r="D16" s="39">
        <f>MAX((Gift_entry+pre_gifts_entry-nrb_entry-exempt)*0.25,0)</f>
        <v>0</v>
      </c>
      <c r="J16" s="8"/>
    </row>
    <row r="17" spans="2:10" ht="13.5" thickTop="1" x14ac:dyDescent="0.2">
      <c r="B17" s="7"/>
      <c r="J17" s="8"/>
    </row>
    <row r="18" spans="2:10" x14ac:dyDescent="0.2">
      <c r="B18" s="7"/>
      <c r="J18" s="8"/>
    </row>
    <row r="19" spans="2:10" x14ac:dyDescent="0.2">
      <c r="B19" s="7"/>
      <c r="J19" s="8"/>
    </row>
    <row r="20" spans="2:10" x14ac:dyDescent="0.2">
      <c r="B20" s="7"/>
      <c r="J20" s="8"/>
    </row>
    <row r="21" spans="2:10" x14ac:dyDescent="0.2">
      <c r="B21" s="7"/>
      <c r="J21" s="8"/>
    </row>
    <row r="22" spans="2:10" x14ac:dyDescent="0.2">
      <c r="B22" s="7"/>
      <c r="J22" s="8"/>
    </row>
    <row r="23" spans="2:10" x14ac:dyDescent="0.2">
      <c r="B23" s="7"/>
      <c r="J23" s="8"/>
    </row>
    <row r="24" spans="2:10" x14ac:dyDescent="0.2">
      <c r="B24" s="7"/>
      <c r="J24" s="8"/>
    </row>
    <row r="25" spans="2:10" ht="14.25" x14ac:dyDescent="0.2">
      <c r="B25" s="7"/>
      <c r="C25" s="9" t="s">
        <v>62</v>
      </c>
      <c r="J25" s="8"/>
    </row>
    <row r="26" spans="2:10" ht="14.25" x14ac:dyDescent="0.2">
      <c r="B26" s="7"/>
      <c r="C26" s="9" t="s">
        <v>63</v>
      </c>
      <c r="J26" s="8"/>
    </row>
    <row r="27" spans="2:10" ht="14.25" x14ac:dyDescent="0.2">
      <c r="B27" s="7"/>
      <c r="C27" s="2" t="s">
        <v>81</v>
      </c>
      <c r="J27" s="8"/>
    </row>
    <row r="28" spans="2:10" x14ac:dyDescent="0.2">
      <c r="B28" s="7"/>
      <c r="J28" s="8"/>
    </row>
    <row r="29" spans="2:10" x14ac:dyDescent="0.2">
      <c r="B29" s="7"/>
      <c r="J29" s="8"/>
    </row>
    <row r="30" spans="2:10" ht="15.75" customHeight="1" thickBot="1" x14ac:dyDescent="0.25">
      <c r="B30" s="10"/>
      <c r="C30" s="11"/>
      <c r="D30" s="79" t="s">
        <v>36</v>
      </c>
      <c r="E30" s="79"/>
      <c r="F30" s="11"/>
      <c r="G30" s="11"/>
      <c r="H30" s="11"/>
      <c r="I30" s="11"/>
      <c r="J30" s="12"/>
    </row>
    <row r="31" spans="2:10" ht="30" customHeight="1" thickTop="1" x14ac:dyDescent="0.2"/>
  </sheetData>
  <sheetProtection algorithmName="SHA-512" hashValue="A1kFha/LegvF8haXAg5Fv3iAVEGCZ+SKliBPliIxyAOxRSrtLrQz4QzNHv/o5AlbJ0gzWvIczLe7mGhHxU/idg==" saltValue="Jden+z2d+LHkJU+LbwqNWQ==" spinCount="100000" sheet="1" selectLockedCells="1"/>
  <mergeCells count="2">
    <mergeCell ref="D30:E30"/>
    <mergeCell ref="C5:E5"/>
  </mergeCells>
  <dataValidations count="1">
    <dataValidation type="decimal" operator="lessThan" allowBlank="1" showInputMessage="1" showErrorMessage="1" error="A maximum of two unused annual exemptions of £3,000 are available" sqref="G12" xr:uid="{00000000-0002-0000-0100-000000000000}">
      <formula1>6000.01</formula1>
    </dataValidation>
  </dataValidation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55"/>
  <sheetViews>
    <sheetView showGridLines="0" showRowColHeaders="0" zoomScaleNormal="100" workbookViewId="0">
      <selection activeCell="D11" sqref="D11"/>
    </sheetView>
  </sheetViews>
  <sheetFormatPr defaultColWidth="0" defaultRowHeight="12.75" zeroHeight="1" x14ac:dyDescent="0.2"/>
  <cols>
    <col min="1" max="1" width="8.7109375" style="2" customWidth="1"/>
    <col min="2" max="2" width="10.7109375" style="2" customWidth="1"/>
    <col min="3" max="3" width="31" style="2" customWidth="1"/>
    <col min="4" max="4" width="13.7109375" style="2" bestFit="1" customWidth="1"/>
    <col min="5" max="5" width="13.7109375" style="2" customWidth="1"/>
    <col min="6" max="6" width="48.5703125" style="2" bestFit="1" customWidth="1"/>
    <col min="7" max="7" width="12.5703125" style="2" bestFit="1" customWidth="1"/>
    <col min="8" max="10" width="9.140625" style="2" customWidth="1"/>
    <col min="11" max="11" width="8.7109375" style="2" customWidth="1"/>
    <col min="12" max="16384" width="9.140625" style="2" hidden="1"/>
  </cols>
  <sheetData>
    <row r="1" spans="2:10" ht="30" customHeight="1" thickBot="1" x14ac:dyDescent="0.25"/>
    <row r="2" spans="2:10" ht="13.5" thickTop="1" x14ac:dyDescent="0.2">
      <c r="B2" s="4"/>
      <c r="C2" s="5"/>
      <c r="D2" s="5"/>
      <c r="E2" s="5"/>
      <c r="F2" s="5"/>
      <c r="G2" s="5"/>
      <c r="H2" s="5"/>
      <c r="I2" s="5"/>
      <c r="J2" s="6"/>
    </row>
    <row r="3" spans="2:10" x14ac:dyDescent="0.2">
      <c r="B3" s="7"/>
      <c r="J3" s="8"/>
    </row>
    <row r="4" spans="2:10" x14ac:dyDescent="0.2">
      <c r="B4" s="7"/>
      <c r="J4" s="8"/>
    </row>
    <row r="5" spans="2:10" x14ac:dyDescent="0.2">
      <c r="B5" s="7"/>
      <c r="C5" s="86" t="s">
        <v>57</v>
      </c>
      <c r="D5" s="86"/>
      <c r="E5" s="86"/>
      <c r="J5" s="8"/>
    </row>
    <row r="6" spans="2:10" x14ac:dyDescent="0.2">
      <c r="B6" s="7"/>
      <c r="J6" s="8"/>
    </row>
    <row r="7" spans="2:10" x14ac:dyDescent="0.2">
      <c r="B7" s="7"/>
      <c r="J7" s="8"/>
    </row>
    <row r="8" spans="2:10" x14ac:dyDescent="0.2">
      <c r="B8" s="7"/>
      <c r="J8" s="8"/>
    </row>
    <row r="9" spans="2:10" x14ac:dyDescent="0.2">
      <c r="B9" s="7"/>
      <c r="J9" s="8"/>
    </row>
    <row r="10" spans="2:10" x14ac:dyDescent="0.2">
      <c r="B10" s="7"/>
      <c r="J10" s="8"/>
    </row>
    <row r="11" spans="2:10" ht="14.25" x14ac:dyDescent="0.2">
      <c r="B11" s="7"/>
      <c r="C11" s="2" t="s">
        <v>65</v>
      </c>
      <c r="D11" s="45">
        <v>0</v>
      </c>
      <c r="E11" s="3"/>
      <c r="F11" s="2" t="s">
        <v>1</v>
      </c>
      <c r="G11" s="45">
        <v>325000</v>
      </c>
      <c r="J11" s="8"/>
    </row>
    <row r="12" spans="2:10" ht="14.25" x14ac:dyDescent="0.2">
      <c r="B12" s="7"/>
      <c r="C12" s="2" t="s">
        <v>20</v>
      </c>
      <c r="D12" s="45">
        <v>0</v>
      </c>
      <c r="E12" s="3"/>
      <c r="F12" s="2" t="s">
        <v>44</v>
      </c>
      <c r="G12" s="45">
        <v>0</v>
      </c>
      <c r="J12" s="8"/>
    </row>
    <row r="13" spans="2:10" ht="14.25" x14ac:dyDescent="0.2">
      <c r="B13" s="7"/>
      <c r="C13" s="2" t="s">
        <v>21</v>
      </c>
      <c r="D13" s="45">
        <v>0</v>
      </c>
      <c r="E13" s="3"/>
      <c r="F13" s="2" t="s">
        <v>28</v>
      </c>
      <c r="G13" s="45">
        <v>0</v>
      </c>
      <c r="J13" s="8"/>
    </row>
    <row r="14" spans="2:10" x14ac:dyDescent="0.2">
      <c r="B14" s="7"/>
      <c r="J14" s="8"/>
    </row>
    <row r="15" spans="2:10" ht="13.5" thickBot="1" x14ac:dyDescent="0.25">
      <c r="B15" s="7"/>
      <c r="C15" s="41" t="s">
        <v>67</v>
      </c>
      <c r="D15" s="37">
        <f>SUM(D11:D13)</f>
        <v>0</v>
      </c>
      <c r="E15" s="3"/>
      <c r="F15" s="41" t="s">
        <v>68</v>
      </c>
      <c r="G15" s="38">
        <f>MAX(current_NRB_10-previous_transfers_10-distributions,0)</f>
        <v>325000</v>
      </c>
      <c r="J15" s="8"/>
    </row>
    <row r="16" spans="2:10" ht="13.5" thickTop="1" x14ac:dyDescent="0.2">
      <c r="B16" s="7"/>
      <c r="J16" s="8"/>
    </row>
    <row r="17" spans="2:10" ht="13.5" thickBot="1" x14ac:dyDescent="0.25">
      <c r="B17" s="7"/>
      <c r="C17" s="2" t="s">
        <v>0</v>
      </c>
      <c r="D17" s="36">
        <f>MAX(notional-nrb_10,0)</f>
        <v>0</v>
      </c>
      <c r="E17" s="3"/>
      <c r="F17" s="2" t="s">
        <v>70</v>
      </c>
      <c r="G17" s="36">
        <f>difference*20%</f>
        <v>0</v>
      </c>
      <c r="J17" s="8"/>
    </row>
    <row r="18" spans="2:10" ht="13.5" thickTop="1" x14ac:dyDescent="0.2">
      <c r="B18" s="7"/>
      <c r="J18" s="8"/>
    </row>
    <row r="19" spans="2:10" x14ac:dyDescent="0.2">
      <c r="B19" s="7"/>
      <c r="J19" s="8"/>
    </row>
    <row r="20" spans="2:10" ht="13.5" thickBot="1" x14ac:dyDescent="0.25">
      <c r="B20" s="7"/>
      <c r="C20" s="41" t="s">
        <v>2</v>
      </c>
      <c r="D20" s="35">
        <f>IFERROR(MIN(notional_IHT/notional,0.2),0)</f>
        <v>0</v>
      </c>
      <c r="E20" s="23"/>
      <c r="F20" s="41" t="s">
        <v>69</v>
      </c>
      <c r="G20" s="35">
        <f>MIN(eff_rate*(3/10),0.06)</f>
        <v>0</v>
      </c>
      <c r="J20" s="8"/>
    </row>
    <row r="21" spans="2:10" ht="13.5" thickTop="1" x14ac:dyDescent="0.2">
      <c r="B21" s="7"/>
      <c r="J21" s="8"/>
    </row>
    <row r="22" spans="2:10" x14ac:dyDescent="0.2">
      <c r="B22" s="7"/>
      <c r="J22" s="8"/>
    </row>
    <row r="23" spans="2:10" ht="13.5" thickBot="1" x14ac:dyDescent="0.25">
      <c r="B23" s="7"/>
      <c r="C23" s="21" t="s">
        <v>43</v>
      </c>
      <c r="D23" s="36">
        <f>IF(Value_10*act_rate&gt;0,Value_10*act_rate,0)</f>
        <v>0</v>
      </c>
      <c r="E23" s="3" t="s">
        <v>30</v>
      </c>
      <c r="J23" s="8"/>
    </row>
    <row r="24" spans="2:10" ht="13.5" thickTop="1" x14ac:dyDescent="0.2">
      <c r="B24" s="7"/>
      <c r="J24" s="8"/>
    </row>
    <row r="25" spans="2:10" x14ac:dyDescent="0.2">
      <c r="B25" s="7"/>
      <c r="J25" s="8"/>
    </row>
    <row r="26" spans="2:10" x14ac:dyDescent="0.2">
      <c r="B26" s="7"/>
      <c r="J26" s="8"/>
    </row>
    <row r="27" spans="2:10" x14ac:dyDescent="0.2">
      <c r="B27" s="7"/>
      <c r="J27" s="8"/>
    </row>
    <row r="28" spans="2:10" x14ac:dyDescent="0.2">
      <c r="B28" s="7"/>
      <c r="J28" s="8"/>
    </row>
    <row r="29" spans="2:10" x14ac:dyDescent="0.2">
      <c r="B29" s="7"/>
      <c r="J29" s="8"/>
    </row>
    <row r="30" spans="2:10" ht="14.25" x14ac:dyDescent="0.2">
      <c r="B30" s="7"/>
      <c r="C30" s="2" t="s">
        <v>66</v>
      </c>
      <c r="J30" s="8"/>
    </row>
    <row r="31" spans="2:10" ht="69" customHeight="1" x14ac:dyDescent="0.2">
      <c r="B31" s="7"/>
      <c r="C31" s="83" t="s">
        <v>82</v>
      </c>
      <c r="D31" s="83"/>
      <c r="E31" s="83"/>
      <c r="F31" s="83"/>
      <c r="G31" s="83"/>
      <c r="H31" s="83"/>
      <c r="J31" s="8"/>
    </row>
    <row r="32" spans="2:10" ht="27.75" customHeight="1" x14ac:dyDescent="0.2">
      <c r="B32" s="7"/>
      <c r="C32" s="84" t="s">
        <v>83</v>
      </c>
      <c r="D32" s="84"/>
      <c r="E32" s="84"/>
      <c r="F32" s="84"/>
      <c r="G32" s="84"/>
      <c r="H32" s="84"/>
      <c r="J32" s="8"/>
    </row>
    <row r="33" spans="2:10" ht="18.75" customHeight="1" x14ac:dyDescent="0.2">
      <c r="B33" s="7"/>
      <c r="C33" s="2" t="s">
        <v>22</v>
      </c>
      <c r="J33" s="8"/>
    </row>
    <row r="34" spans="2:10" ht="19.5" customHeight="1" x14ac:dyDescent="0.2">
      <c r="B34" s="7"/>
      <c r="C34" s="2" t="s">
        <v>29</v>
      </c>
      <c r="J34" s="8"/>
    </row>
    <row r="35" spans="2:10" x14ac:dyDescent="0.2">
      <c r="B35" s="7"/>
      <c r="J35" s="8"/>
    </row>
    <row r="36" spans="2:10" ht="15" customHeight="1" x14ac:dyDescent="0.2">
      <c r="B36" s="7"/>
      <c r="C36" s="84" t="s">
        <v>49</v>
      </c>
      <c r="D36" s="84"/>
      <c r="E36" s="84"/>
      <c r="F36" s="84"/>
      <c r="G36" s="84"/>
      <c r="H36" s="84"/>
      <c r="J36" s="8"/>
    </row>
    <row r="37" spans="2:10" ht="15.75" customHeight="1" x14ac:dyDescent="0.2">
      <c r="B37" s="7"/>
      <c r="C37" s="84"/>
      <c r="D37" s="84"/>
      <c r="E37" s="84"/>
      <c r="F37" s="84"/>
      <c r="G37" s="84"/>
      <c r="H37" s="84"/>
      <c r="J37" s="8"/>
    </row>
    <row r="38" spans="2:10" ht="15.75" customHeight="1" thickBot="1" x14ac:dyDescent="0.25">
      <c r="B38" s="10"/>
      <c r="C38" s="25"/>
      <c r="D38" s="25"/>
      <c r="E38" s="85" t="s">
        <v>36</v>
      </c>
      <c r="F38" s="85"/>
      <c r="G38" s="25"/>
      <c r="H38" s="25"/>
      <c r="I38" s="11"/>
      <c r="J38" s="12"/>
    </row>
    <row r="39" spans="2:10" ht="30" customHeight="1" thickTop="1" x14ac:dyDescent="0.2"/>
    <row r="40" spans="2:10" x14ac:dyDescent="0.2"/>
    <row r="54" x14ac:dyDescent="0.2"/>
    <row r="55" x14ac:dyDescent="0.2"/>
  </sheetData>
  <sheetProtection algorithmName="SHA-512" hashValue="rfKE7HiQzPX2d+1/yvLWORljx63DELuqSmV2PzPN5fmKG2GhcHey8z8rN6yUx710UjlwbgWWr9NI6F2pMESPjw==" saltValue="M2eL9+225vNtJKkvrU5VGA==" spinCount="100000" sheet="1" selectLockedCells="1"/>
  <mergeCells count="5">
    <mergeCell ref="C31:H31"/>
    <mergeCell ref="C36:H37"/>
    <mergeCell ref="E38:F38"/>
    <mergeCell ref="C5:E5"/>
    <mergeCell ref="C32:H32"/>
  </mergeCells>
  <pageMargins left="0.7" right="0.7" top="0.75" bottom="0.75" header="0.3" footer="0.3"/>
  <pageSetup paperSize="9" scale="9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70FF4-0FB4-4E04-B231-355F5EA3C145}">
  <sheetPr>
    <pageSetUpPr fitToPage="1"/>
  </sheetPr>
  <dimension ref="A1:K72"/>
  <sheetViews>
    <sheetView showGridLines="0" showRowColHeaders="0" zoomScaleNormal="100" workbookViewId="0">
      <selection activeCell="D8" sqref="D8"/>
    </sheetView>
  </sheetViews>
  <sheetFormatPr defaultColWidth="0" defaultRowHeight="12.75" customHeight="1" zeroHeight="1" x14ac:dyDescent="0.2"/>
  <cols>
    <col min="1" max="1" width="8.7109375" style="2" customWidth="1"/>
    <col min="2" max="2" width="10.7109375" style="2" customWidth="1"/>
    <col min="3" max="3" width="42.28515625" style="2" customWidth="1"/>
    <col min="4" max="4" width="13.7109375" style="2" bestFit="1" customWidth="1"/>
    <col min="5" max="5" width="13.7109375" style="2" customWidth="1"/>
    <col min="6" max="6" width="48.5703125" style="2" bestFit="1" customWidth="1"/>
    <col min="7" max="7" width="12.5703125" style="2" bestFit="1" customWidth="1"/>
    <col min="8" max="10" width="9.140625" style="2" customWidth="1"/>
    <col min="11" max="11" width="8.7109375" style="2" customWidth="1"/>
    <col min="12" max="16384" width="9.140625" style="2" hidden="1"/>
  </cols>
  <sheetData>
    <row r="1" spans="2:10" ht="30" customHeight="1" thickBot="1" x14ac:dyDescent="0.25"/>
    <row r="2" spans="2:10" ht="13.5" thickTop="1" x14ac:dyDescent="0.2">
      <c r="B2" s="4"/>
      <c r="C2" s="5"/>
      <c r="D2" s="5"/>
      <c r="E2" s="5"/>
      <c r="F2" s="5"/>
      <c r="G2" s="5"/>
      <c r="H2" s="5"/>
      <c r="I2" s="5"/>
      <c r="J2" s="6"/>
    </row>
    <row r="3" spans="2:10" x14ac:dyDescent="0.2">
      <c r="B3" s="7"/>
      <c r="J3" s="8"/>
    </row>
    <row r="4" spans="2:10" x14ac:dyDescent="0.2">
      <c r="B4" s="7"/>
      <c r="J4" s="8"/>
    </row>
    <row r="5" spans="2:10" x14ac:dyDescent="0.2">
      <c r="B5" s="7"/>
      <c r="C5" s="86" t="s">
        <v>57</v>
      </c>
      <c r="D5" s="86"/>
      <c r="E5" s="86"/>
      <c r="J5" s="8"/>
    </row>
    <row r="6" spans="2:10" x14ac:dyDescent="0.2">
      <c r="B6" s="7"/>
      <c r="C6" s="75"/>
      <c r="D6" s="75"/>
      <c r="E6" s="75"/>
      <c r="J6" s="8"/>
    </row>
    <row r="7" spans="2:10" x14ac:dyDescent="0.2">
      <c r="B7" s="7"/>
      <c r="J7" s="8"/>
    </row>
    <row r="8" spans="2:10" x14ac:dyDescent="0.2">
      <c r="B8" s="7"/>
      <c r="C8" s="2" t="s">
        <v>128</v>
      </c>
      <c r="D8" s="77" t="s">
        <v>126</v>
      </c>
      <c r="J8" s="8"/>
    </row>
    <row r="9" spans="2:10" ht="14.25" x14ac:dyDescent="0.2">
      <c r="B9" s="7"/>
      <c r="C9" s="2" t="s">
        <v>125</v>
      </c>
      <c r="D9" s="45">
        <v>0</v>
      </c>
      <c r="E9" s="76"/>
      <c r="F9" s="2" t="s">
        <v>102</v>
      </c>
      <c r="G9" s="55">
        <v>0</v>
      </c>
      <c r="J9" s="8"/>
    </row>
    <row r="10" spans="2:10" x14ac:dyDescent="0.2">
      <c r="B10" s="7"/>
      <c r="C10" s="2" t="s">
        <v>121</v>
      </c>
      <c r="D10" s="74">
        <v>0.03</v>
      </c>
      <c r="F10" s="2" t="s">
        <v>89</v>
      </c>
      <c r="G10" s="56">
        <v>10</v>
      </c>
      <c r="I10" s="73">
        <f ca="1">TODAY()</f>
        <v>46099</v>
      </c>
      <c r="J10" s="8"/>
    </row>
    <row r="11" spans="2:10" x14ac:dyDescent="0.2">
      <c r="B11" s="7"/>
      <c r="G11" s="50"/>
      <c r="I11" s="73">
        <f ca="1">DATE(YEAR(I10)+projection_term,MONTH(I10),DAY(I10)-1)</f>
        <v>49751</v>
      </c>
      <c r="J11" s="8"/>
    </row>
    <row r="12" spans="2:10" x14ac:dyDescent="0.2">
      <c r="B12" s="7"/>
      <c r="C12" s="21" t="s">
        <v>86</v>
      </c>
      <c r="J12" s="8"/>
    </row>
    <row r="13" spans="2:10" x14ac:dyDescent="0.2">
      <c r="B13" s="7"/>
      <c r="C13" s="21"/>
      <c r="J13" s="8"/>
    </row>
    <row r="14" spans="2:10" ht="15" x14ac:dyDescent="0.25">
      <c r="B14" s="7"/>
      <c r="C14" s="2" t="s">
        <v>103</v>
      </c>
      <c r="D14" s="51">
        <f>Initial_gift*((1+return)^projection_term)</f>
        <v>0</v>
      </c>
      <c r="E14" s="3"/>
      <c r="F14" s="2" t="s">
        <v>116</v>
      </c>
      <c r="G14" s="72" cm="1">
        <f t="array" aca="1" ref="G14" ca="1">LOOKUP(2,1/((I11&gt;=Lists!A13:A105)*(I11&lt;=Lists!B13:B105)),Lists!C13:C105)</f>
        <v>376764.07414750004</v>
      </c>
      <c r="J14" s="8"/>
    </row>
    <row r="15" spans="2:10" ht="14.25" x14ac:dyDescent="0.2">
      <c r="B15" s="7"/>
      <c r="C15" s="99" t="s">
        <v>129</v>
      </c>
      <c r="D15" s="51" t="str">
        <f>IF(GIFT_LOAN="Loan",Initial_gift,"")</f>
        <v/>
      </c>
      <c r="E15" s="3"/>
      <c r="F15" s="2" t="s">
        <v>44</v>
      </c>
      <c r="G15" s="45">
        <v>0</v>
      </c>
      <c r="J15" s="8"/>
    </row>
    <row r="16" spans="2:10" x14ac:dyDescent="0.2">
      <c r="B16" s="7"/>
      <c r="J16" s="8"/>
    </row>
    <row r="17" spans="2:10" x14ac:dyDescent="0.2">
      <c r="B17" s="7"/>
      <c r="J17" s="8"/>
    </row>
    <row r="18" spans="2:10" x14ac:dyDescent="0.2">
      <c r="B18" s="7"/>
      <c r="C18" s="41" t="s">
        <v>114</v>
      </c>
      <c r="D18" s="52">
        <f ca="1">'Rysaffe breakdown'!ten_yr_tax</f>
        <v>0</v>
      </c>
      <c r="E18" s="53"/>
      <c r="F18" s="34"/>
      <c r="G18" s="34"/>
      <c r="J18" s="8"/>
    </row>
    <row r="19" spans="2:10" x14ac:dyDescent="0.2">
      <c r="B19" s="7"/>
      <c r="J19" s="8"/>
    </row>
    <row r="20" spans="2:10" x14ac:dyDescent="0.2">
      <c r="B20" s="7"/>
      <c r="J20" s="8"/>
    </row>
    <row r="21" spans="2:10" x14ac:dyDescent="0.2">
      <c r="B21" s="7"/>
      <c r="C21" s="21" t="s">
        <v>87</v>
      </c>
      <c r="J21" s="8"/>
    </row>
    <row r="22" spans="2:10" x14ac:dyDescent="0.2">
      <c r="B22" s="7"/>
      <c r="C22" s="21"/>
      <c r="F22" s="2" t="s">
        <v>88</v>
      </c>
      <c r="G22" s="56">
        <v>1</v>
      </c>
      <c r="J22" s="8"/>
    </row>
    <row r="23" spans="2:10" x14ac:dyDescent="0.2">
      <c r="B23" s="7"/>
      <c r="C23" s="21"/>
      <c r="G23" s="50"/>
      <c r="J23" s="8"/>
    </row>
    <row r="24" spans="2:10" ht="14.25" x14ac:dyDescent="0.2">
      <c r="B24" s="7"/>
      <c r="C24" s="41" t="s">
        <v>113</v>
      </c>
      <c r="D24" s="52">
        <f ca="1">'Rysaffe breakdown'!D30</f>
        <v>0</v>
      </c>
      <c r="E24" s="34"/>
      <c r="F24" s="41" t="s">
        <v>124</v>
      </c>
      <c r="G24" s="54">
        <f ca="1">'Rysaffe breakdown'!G30</f>
        <v>0</v>
      </c>
      <c r="J24" s="8"/>
    </row>
    <row r="25" spans="2:10" x14ac:dyDescent="0.2">
      <c r="B25" s="7"/>
      <c r="J25" s="8"/>
    </row>
    <row r="26" spans="2:10" x14ac:dyDescent="0.2">
      <c r="B26" s="7"/>
      <c r="J26" s="8"/>
    </row>
    <row r="27" spans="2:10" x14ac:dyDescent="0.2">
      <c r="B27" s="7"/>
      <c r="J27" s="8"/>
    </row>
    <row r="28" spans="2:10" x14ac:dyDescent="0.2">
      <c r="B28" s="7"/>
      <c r="J28" s="8"/>
    </row>
    <row r="29" spans="2:10" ht="15" customHeight="1" x14ac:dyDescent="0.2">
      <c r="B29" s="7"/>
      <c r="C29" s="58" t="s">
        <v>105</v>
      </c>
      <c r="D29" s="50"/>
      <c r="E29" s="50"/>
      <c r="F29" s="50"/>
      <c r="G29" s="50"/>
      <c r="H29" s="50"/>
      <c r="J29" s="8"/>
    </row>
    <row r="30" spans="2:10" ht="17.25" customHeight="1" x14ac:dyDescent="0.2">
      <c r="B30" s="7"/>
      <c r="C30" s="87" t="s">
        <v>106</v>
      </c>
      <c r="D30" s="87"/>
      <c r="E30" s="87"/>
      <c r="F30" s="87"/>
      <c r="G30" s="87"/>
      <c r="H30" s="87"/>
      <c r="J30" s="8"/>
    </row>
    <row r="31" spans="2:10" ht="18" customHeight="1" x14ac:dyDescent="0.2">
      <c r="B31" s="7"/>
      <c r="C31" s="88" t="s">
        <v>122</v>
      </c>
      <c r="D31" s="88"/>
      <c r="E31" s="88"/>
      <c r="F31" s="88"/>
      <c r="G31" s="88"/>
      <c r="H31" s="88"/>
      <c r="J31" s="8"/>
    </row>
    <row r="32" spans="2:10" ht="18.75" customHeight="1" x14ac:dyDescent="0.2">
      <c r="B32" s="7"/>
      <c r="C32" s="50" t="s">
        <v>107</v>
      </c>
      <c r="D32" s="50"/>
      <c r="E32" s="50"/>
      <c r="F32" s="50"/>
      <c r="G32" s="50"/>
      <c r="H32" s="50"/>
      <c r="J32" s="8"/>
    </row>
    <row r="33" spans="2:10" ht="6" customHeight="1" x14ac:dyDescent="0.2">
      <c r="B33" s="7"/>
      <c r="C33" s="88" t="s">
        <v>115</v>
      </c>
      <c r="D33" s="88"/>
      <c r="E33" s="88"/>
      <c r="F33" s="88"/>
      <c r="G33" s="88"/>
      <c r="H33" s="88"/>
      <c r="J33" s="8"/>
    </row>
    <row r="34" spans="2:10" ht="13.5" customHeight="1" x14ac:dyDescent="0.2">
      <c r="B34" s="7"/>
      <c r="C34" s="88"/>
      <c r="D34" s="88"/>
      <c r="E34" s="88"/>
      <c r="F34" s="88"/>
      <c r="G34" s="88"/>
      <c r="H34" s="88"/>
      <c r="J34" s="8"/>
    </row>
    <row r="35" spans="2:10" ht="13.5" customHeight="1" x14ac:dyDescent="0.2">
      <c r="B35" s="7"/>
      <c r="C35" s="59"/>
      <c r="D35" s="59"/>
      <c r="E35" s="59"/>
      <c r="F35" s="59"/>
      <c r="G35" s="59"/>
      <c r="H35" s="59"/>
      <c r="J35" s="8"/>
    </row>
    <row r="36" spans="2:10" ht="12.75" customHeight="1" x14ac:dyDescent="0.2">
      <c r="B36" s="7"/>
      <c r="C36" s="84" t="s">
        <v>108</v>
      </c>
      <c r="D36" s="84"/>
      <c r="E36" s="84"/>
      <c r="F36" s="84"/>
      <c r="G36" s="84"/>
      <c r="H36" s="84"/>
      <c r="I36" s="84"/>
      <c r="J36" s="8"/>
    </row>
    <row r="37" spans="2:10" ht="15" customHeight="1" x14ac:dyDescent="0.2">
      <c r="B37" s="7"/>
      <c r="C37" s="84"/>
      <c r="D37" s="84"/>
      <c r="E37" s="84"/>
      <c r="F37" s="84"/>
      <c r="G37" s="84"/>
      <c r="H37" s="84"/>
      <c r="I37" s="84"/>
      <c r="J37" s="8"/>
    </row>
    <row r="38" spans="2:10" ht="15" customHeight="1" x14ac:dyDescent="0.2">
      <c r="B38" s="7"/>
      <c r="C38" s="84"/>
      <c r="D38" s="84"/>
      <c r="E38" s="84"/>
      <c r="F38" s="84"/>
      <c r="G38" s="84"/>
      <c r="H38" s="84"/>
      <c r="I38" s="84"/>
      <c r="J38" s="8"/>
    </row>
    <row r="39" spans="2:10" ht="15" customHeight="1" x14ac:dyDescent="0.2">
      <c r="B39" s="7"/>
      <c r="C39" s="84"/>
      <c r="D39" s="84"/>
      <c r="E39" s="84"/>
      <c r="F39" s="84"/>
      <c r="G39" s="84"/>
      <c r="H39" s="84"/>
      <c r="I39" s="84"/>
      <c r="J39" s="8"/>
    </row>
    <row r="40" spans="2:10" ht="15" customHeight="1" x14ac:dyDescent="0.2">
      <c r="B40" s="7"/>
      <c r="C40" s="84"/>
      <c r="D40" s="84"/>
      <c r="E40" s="84"/>
      <c r="F40" s="84"/>
      <c r="G40" s="84"/>
      <c r="H40" s="84"/>
      <c r="I40" s="84"/>
      <c r="J40" s="8"/>
    </row>
    <row r="41" spans="2:10" ht="15" customHeight="1" x14ac:dyDescent="0.2">
      <c r="B41" s="7"/>
      <c r="C41" s="84"/>
      <c r="D41" s="84"/>
      <c r="E41" s="84"/>
      <c r="F41" s="84"/>
      <c r="G41" s="84"/>
      <c r="H41" s="84"/>
      <c r="I41" s="84"/>
      <c r="J41" s="8"/>
    </row>
    <row r="42" spans="2:10" ht="15" customHeight="1" x14ac:dyDescent="0.2">
      <c r="B42" s="7"/>
      <c r="C42" s="84"/>
      <c r="D42" s="84"/>
      <c r="E42" s="84"/>
      <c r="F42" s="84"/>
      <c r="G42" s="84"/>
      <c r="H42" s="84"/>
      <c r="I42" s="84"/>
      <c r="J42" s="8"/>
    </row>
    <row r="43" spans="2:10" ht="15" customHeight="1" x14ac:dyDescent="0.2">
      <c r="B43" s="7"/>
      <c r="C43" s="84"/>
      <c r="D43" s="84"/>
      <c r="E43" s="84"/>
      <c r="F43" s="84"/>
      <c r="G43" s="84"/>
      <c r="H43" s="84"/>
      <c r="I43" s="84"/>
      <c r="J43" s="8"/>
    </row>
    <row r="44" spans="2:10" ht="15" customHeight="1" x14ac:dyDescent="0.2">
      <c r="B44" s="7"/>
      <c r="C44" s="84"/>
      <c r="D44" s="84"/>
      <c r="E44" s="84"/>
      <c r="F44" s="84"/>
      <c r="G44" s="84"/>
      <c r="H44" s="84"/>
      <c r="I44" s="84"/>
      <c r="J44" s="8"/>
    </row>
    <row r="45" spans="2:10" ht="15" customHeight="1" x14ac:dyDescent="0.2">
      <c r="B45" s="7"/>
      <c r="C45" s="84"/>
      <c r="D45" s="84"/>
      <c r="E45" s="84"/>
      <c r="F45" s="84"/>
      <c r="G45" s="84"/>
      <c r="H45" s="84"/>
      <c r="I45" s="84"/>
      <c r="J45" s="8"/>
    </row>
    <row r="46" spans="2:10" ht="15" customHeight="1" x14ac:dyDescent="0.2">
      <c r="B46" s="7"/>
      <c r="C46" s="84"/>
      <c r="D46" s="84"/>
      <c r="E46" s="84"/>
      <c r="F46" s="84"/>
      <c r="G46" s="84"/>
      <c r="H46" s="84"/>
      <c r="I46" s="84"/>
      <c r="J46" s="8"/>
    </row>
    <row r="47" spans="2:10" ht="15.75" customHeight="1" x14ac:dyDescent="0.2">
      <c r="B47" s="7"/>
      <c r="C47" s="84"/>
      <c r="D47" s="84"/>
      <c r="E47" s="84"/>
      <c r="F47" s="84"/>
      <c r="G47" s="84"/>
      <c r="H47" s="84"/>
      <c r="I47" s="84"/>
      <c r="J47" s="8"/>
    </row>
    <row r="48" spans="2:10" ht="15.75" customHeight="1" x14ac:dyDescent="0.2">
      <c r="B48" s="7"/>
      <c r="C48" s="49"/>
      <c r="D48" s="49"/>
      <c r="E48" s="89" t="s">
        <v>36</v>
      </c>
      <c r="F48" s="89"/>
      <c r="G48" s="49"/>
      <c r="H48" s="49"/>
      <c r="I48" s="49"/>
      <c r="J48" s="8"/>
    </row>
    <row r="49" spans="2:10" ht="15.75" customHeight="1" thickBot="1" x14ac:dyDescent="0.25">
      <c r="B49" s="10"/>
      <c r="C49" s="25"/>
      <c r="D49" s="25"/>
      <c r="E49" s="85"/>
      <c r="F49" s="85"/>
      <c r="G49" s="25"/>
      <c r="H49" s="25"/>
      <c r="I49" s="11"/>
      <c r="J49" s="12"/>
    </row>
    <row r="50" spans="2:10" ht="30" customHeight="1" thickTop="1" x14ac:dyDescent="0.2"/>
    <row r="51" spans="2:10" x14ac:dyDescent="0.2"/>
    <row r="60" spans="2:10" hidden="1" x14ac:dyDescent="0.2"/>
    <row r="61" spans="2:10" hidden="1" x14ac:dyDescent="0.2"/>
    <row r="62" spans="2:10" hidden="1" x14ac:dyDescent="0.2"/>
    <row r="63" spans="2:10" hidden="1" x14ac:dyDescent="0.2"/>
    <row r="64" spans="2:10" hidden="1" x14ac:dyDescent="0.2"/>
    <row r="65" s="2" customFormat="1" hidden="1" x14ac:dyDescent="0.2"/>
    <row r="66" s="2" customFormat="1" hidden="1" x14ac:dyDescent="0.2"/>
    <row r="67" s="2" customFormat="1" hidden="1" x14ac:dyDescent="0.2"/>
    <row r="68" s="2" customFormat="1" hidden="1" x14ac:dyDescent="0.2"/>
    <row r="69" s="2" customFormat="1" hidden="1" x14ac:dyDescent="0.2"/>
    <row r="70" s="2" customFormat="1" hidden="1" x14ac:dyDescent="0.2"/>
    <row r="71" s="2" customFormat="1" hidden="1" x14ac:dyDescent="0.2"/>
    <row r="72" s="2" customFormat="1" hidden="1" x14ac:dyDescent="0.2"/>
  </sheetData>
  <sheetProtection algorithmName="SHA-512" hashValue="DKfpDXMFdfn/2AcekK1TRUpKmEyulmUsV5nReSrhm2fJbyW2KF/crYgWtd7HHBEBsjZDAVrl3MP4HqAH1zBQJg==" saltValue="jd83Q7YShwcbe1/87pWlZA==" spinCount="100000" sheet="1" selectLockedCells="1"/>
  <mergeCells count="7">
    <mergeCell ref="C5:E5"/>
    <mergeCell ref="C30:H30"/>
    <mergeCell ref="C31:H31"/>
    <mergeCell ref="E49:F49"/>
    <mergeCell ref="C36:I47"/>
    <mergeCell ref="C33:H34"/>
    <mergeCell ref="E48:F48"/>
  </mergeCells>
  <conditionalFormatting sqref="G24">
    <cfRule type="cellIs" dxfId="6" priority="2" operator="greaterThan">
      <formula>0</formula>
    </cfRule>
    <cfRule type="cellIs" dxfId="5" priority="3" operator="lessThanOrEqual">
      <formula>0</formula>
    </cfRule>
  </conditionalFormatting>
  <conditionalFormatting sqref="C15">
    <cfRule type="expression" dxfId="4" priority="1">
      <formula>$D$8="Loan"</formula>
    </cfRule>
  </conditionalFormatting>
  <dataValidations count="3">
    <dataValidation type="list" allowBlank="1" showInputMessage="1" showErrorMessage="1" sqref="G10" xr:uid="{A526D663-8ACB-4EBC-8B51-FE80D60CC00D}">
      <formula1>ten_years</formula1>
    </dataValidation>
    <dataValidation type="whole" allowBlank="1" showInputMessage="1" showErrorMessage="1" sqref="G22" xr:uid="{D56BE039-0277-47BC-9BC6-BBF92562187D}">
      <formula1>1</formula1>
      <formula2>4</formula2>
    </dataValidation>
    <dataValidation type="list" allowBlank="1" showInputMessage="1" showErrorMessage="1" sqref="D8" xr:uid="{AFF60450-4548-4B10-BD8C-DADD068E1ED8}">
      <formula1>Initial_type</formula1>
    </dataValidation>
  </dataValidations>
  <pageMargins left="0.70866141732283472" right="0.70866141732283472" top="0.74803149606299213" bottom="0.74803149606299213" header="0.31496062992125984" footer="0.31496062992125984"/>
  <pageSetup paperSize="9" scale="7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20430-AD2D-4094-A351-C5F4BA95E41C}">
  <sheetPr>
    <pageSetUpPr fitToPage="1"/>
  </sheetPr>
  <dimension ref="A1:K123"/>
  <sheetViews>
    <sheetView showGridLines="0" showRowColHeaders="0" zoomScaleNormal="100" workbookViewId="0"/>
  </sheetViews>
  <sheetFormatPr defaultColWidth="0" defaultRowHeight="12.75" customHeight="1" zeroHeight="1" x14ac:dyDescent="0.2"/>
  <cols>
    <col min="1" max="1" width="8.7109375" style="2" customWidth="1"/>
    <col min="2" max="2" width="10.7109375" style="2" customWidth="1"/>
    <col min="3" max="3" width="31" style="2" customWidth="1"/>
    <col min="4" max="4" width="13.7109375" style="2" bestFit="1" customWidth="1"/>
    <col min="5" max="5" width="13.7109375" style="2" customWidth="1"/>
    <col min="6" max="6" width="48.5703125" style="2" bestFit="1" customWidth="1"/>
    <col min="7" max="7" width="12.5703125" style="2" bestFit="1" customWidth="1"/>
    <col min="8" max="10" width="9.140625" style="2" customWidth="1"/>
    <col min="11" max="11" width="8.7109375" style="2" customWidth="1"/>
    <col min="12" max="16384" width="9.140625" style="2" hidden="1"/>
  </cols>
  <sheetData>
    <row r="1" spans="2:10" ht="30" customHeight="1" thickBot="1" x14ac:dyDescent="0.25"/>
    <row r="2" spans="2:10" ht="13.5" thickTop="1" x14ac:dyDescent="0.2">
      <c r="B2" s="4"/>
      <c r="C2" s="5"/>
      <c r="D2" s="5"/>
      <c r="E2" s="5"/>
      <c r="F2" s="5"/>
      <c r="G2" s="5"/>
      <c r="H2" s="5"/>
      <c r="I2" s="5"/>
      <c r="J2" s="6"/>
    </row>
    <row r="3" spans="2:10" x14ac:dyDescent="0.2">
      <c r="B3" s="7"/>
      <c r="J3" s="8"/>
    </row>
    <row r="4" spans="2:10" x14ac:dyDescent="0.2">
      <c r="B4" s="7"/>
      <c r="J4" s="8"/>
    </row>
    <row r="5" spans="2:10" x14ac:dyDescent="0.2">
      <c r="B5" s="7"/>
      <c r="C5" s="86" t="s">
        <v>57</v>
      </c>
      <c r="D5" s="86"/>
      <c r="E5" s="86"/>
      <c r="J5" s="8"/>
    </row>
    <row r="6" spans="2:10" x14ac:dyDescent="0.2">
      <c r="B6" s="7"/>
      <c r="J6" s="8"/>
    </row>
    <row r="7" spans="2:10" x14ac:dyDescent="0.2">
      <c r="B7" s="7"/>
      <c r="J7" s="8"/>
    </row>
    <row r="8" spans="2:10" ht="14.25" x14ac:dyDescent="0.2">
      <c r="B8" s="7"/>
      <c r="C8" s="62" t="s">
        <v>130</v>
      </c>
      <c r="D8" s="57">
        <f>'Rysaffe summary'!Initial_gift</f>
        <v>0</v>
      </c>
      <c r="E8" s="63"/>
      <c r="F8" s="62" t="s">
        <v>110</v>
      </c>
      <c r="G8" s="64">
        <f>'Rysaffe summary'!return</f>
        <v>0</v>
      </c>
      <c r="J8" s="8"/>
    </row>
    <row r="9" spans="2:10" x14ac:dyDescent="0.2">
      <c r="B9" s="7"/>
      <c r="C9" s="62" t="s">
        <v>131</v>
      </c>
      <c r="D9" s="102" t="str">
        <f>GIFT_LOAN</f>
        <v>Gift</v>
      </c>
      <c r="E9" s="63"/>
      <c r="F9" s="62" t="s">
        <v>89</v>
      </c>
      <c r="G9" s="63">
        <f>'Rysaffe summary'!projection_term</f>
        <v>10</v>
      </c>
      <c r="J9" s="8"/>
    </row>
    <row r="10" spans="2:10" x14ac:dyDescent="0.2">
      <c r="B10" s="7"/>
      <c r="G10" s="50"/>
      <c r="J10" s="8"/>
    </row>
    <row r="11" spans="2:10" x14ac:dyDescent="0.2">
      <c r="B11" s="7"/>
      <c r="G11" s="50"/>
      <c r="J11" s="8"/>
    </row>
    <row r="12" spans="2:10" x14ac:dyDescent="0.2">
      <c r="B12" s="7"/>
      <c r="C12" s="21" t="s">
        <v>86</v>
      </c>
      <c r="J12" s="8"/>
    </row>
    <row r="13" spans="2:10" x14ac:dyDescent="0.2">
      <c r="B13" s="7"/>
      <c r="C13" s="62"/>
      <c r="D13" s="63"/>
      <c r="E13" s="63"/>
      <c r="F13" s="63"/>
      <c r="G13" s="63"/>
      <c r="J13" s="8"/>
    </row>
    <row r="14" spans="2:10" ht="14.25" x14ac:dyDescent="0.2">
      <c r="B14" s="7"/>
      <c r="C14" s="63" t="s">
        <v>103</v>
      </c>
      <c r="D14" s="57">
        <f>Initial_gift*((1+return)^projection_term)</f>
        <v>0</v>
      </c>
      <c r="E14" s="65"/>
      <c r="F14" s="63" t="s">
        <v>116</v>
      </c>
      <c r="G14" s="57">
        <f ca="1">'Rysaffe summary'!current_NRB_10</f>
        <v>376764.07414750004</v>
      </c>
      <c r="J14" s="8"/>
    </row>
    <row r="15" spans="2:10" ht="14.25" x14ac:dyDescent="0.2">
      <c r="B15" s="7"/>
      <c r="C15" s="100" t="s">
        <v>129</v>
      </c>
      <c r="D15" s="101">
        <f>IF(GIFT_LOAN="Gift",0,Initial_gift)</f>
        <v>0</v>
      </c>
      <c r="E15" s="65"/>
      <c r="F15" s="63" t="s">
        <v>44</v>
      </c>
      <c r="G15" s="57">
        <f>'Rysaffe summary'!previous_transfers_10</f>
        <v>0</v>
      </c>
      <c r="J15" s="8"/>
    </row>
    <row r="16" spans="2:10" x14ac:dyDescent="0.2">
      <c r="B16" s="7"/>
      <c r="C16" s="63"/>
      <c r="D16" s="63"/>
      <c r="E16" s="63"/>
      <c r="F16" s="63"/>
      <c r="G16" s="63"/>
      <c r="J16" s="8"/>
    </row>
    <row r="17" spans="2:10" ht="13.5" thickBot="1" x14ac:dyDescent="0.25">
      <c r="B17" s="7"/>
      <c r="C17" s="41" t="s">
        <v>67</v>
      </c>
      <c r="D17" s="66">
        <f>SUM(Value_10-Loan_sgl)</f>
        <v>0</v>
      </c>
      <c r="E17" s="65"/>
      <c r="F17" s="41" t="s">
        <v>68</v>
      </c>
      <c r="G17" s="67">
        <f ca="1">MAX(current_NRB_10-previous_transfers_10,0)</f>
        <v>376764.07414750004</v>
      </c>
      <c r="J17" s="8"/>
    </row>
    <row r="18" spans="2:10" ht="13.5" thickTop="1" x14ac:dyDescent="0.2">
      <c r="B18" s="7"/>
      <c r="C18" s="63"/>
      <c r="D18" s="63"/>
      <c r="E18" s="63"/>
      <c r="F18" s="63"/>
      <c r="G18" s="63"/>
      <c r="J18" s="8"/>
    </row>
    <row r="19" spans="2:10" ht="13.5" thickBot="1" x14ac:dyDescent="0.25">
      <c r="B19" s="7"/>
      <c r="C19" s="63" t="s">
        <v>0</v>
      </c>
      <c r="D19" s="67">
        <f ca="1">MAX(notional-nrb_10,0)</f>
        <v>0</v>
      </c>
      <c r="E19" s="65"/>
      <c r="F19" s="63" t="s">
        <v>70</v>
      </c>
      <c r="G19" s="67">
        <f ca="1">difference*20%</f>
        <v>0</v>
      </c>
      <c r="J19" s="8"/>
    </row>
    <row r="20" spans="2:10" ht="13.5" thickTop="1" x14ac:dyDescent="0.2">
      <c r="B20" s="7"/>
      <c r="C20" s="63"/>
      <c r="D20" s="63"/>
      <c r="E20" s="63"/>
      <c r="F20" s="63"/>
      <c r="G20" s="63"/>
      <c r="J20" s="8"/>
    </row>
    <row r="21" spans="2:10" ht="13.5" thickBot="1" x14ac:dyDescent="0.25">
      <c r="B21" s="7"/>
      <c r="C21" s="41" t="s">
        <v>2</v>
      </c>
      <c r="D21" s="68">
        <f ca="1">IFERROR(MIN(notional_IHT/notional,0.2),0)</f>
        <v>0</v>
      </c>
      <c r="E21" s="69"/>
      <c r="F21" s="41" t="s">
        <v>69</v>
      </c>
      <c r="G21" s="68">
        <f ca="1">MIN(eff_rate*(3/10),0.06)</f>
        <v>0</v>
      </c>
      <c r="J21" s="8"/>
    </row>
    <row r="22" spans="2:10" ht="13.5" thickTop="1" x14ac:dyDescent="0.2">
      <c r="B22" s="7"/>
      <c r="C22" s="63"/>
      <c r="D22" s="63"/>
      <c r="E22" s="63"/>
      <c r="F22" s="63"/>
      <c r="G22" s="63"/>
      <c r="J22" s="8"/>
    </row>
    <row r="23" spans="2:10" x14ac:dyDescent="0.2">
      <c r="B23" s="7"/>
      <c r="C23" s="63"/>
      <c r="D23" s="63"/>
      <c r="E23" s="63"/>
      <c r="F23" s="63"/>
      <c r="G23" s="63"/>
      <c r="J23" s="8"/>
    </row>
    <row r="24" spans="2:10" ht="13.5" thickBot="1" x14ac:dyDescent="0.25">
      <c r="B24" s="7"/>
      <c r="C24" s="62" t="s">
        <v>91</v>
      </c>
      <c r="D24" s="67">
        <f ca="1">IF((Value_10-Loan_sgl)*act_rate&gt;0,(Value_10-Loan_sgl)*act_rate,0)</f>
        <v>0</v>
      </c>
      <c r="E24" s="65"/>
      <c r="F24" s="63"/>
      <c r="G24" s="63"/>
      <c r="J24" s="8"/>
    </row>
    <row r="25" spans="2:10" ht="13.5" thickTop="1" x14ac:dyDescent="0.2">
      <c r="B25" s="7"/>
      <c r="C25" s="63"/>
      <c r="D25" s="63"/>
      <c r="E25" s="63"/>
      <c r="F25" s="63"/>
      <c r="G25" s="63"/>
      <c r="J25" s="8"/>
    </row>
    <row r="26" spans="2:10" x14ac:dyDescent="0.2">
      <c r="B26" s="7"/>
      <c r="J26" s="8"/>
    </row>
    <row r="27" spans="2:10" x14ac:dyDescent="0.2">
      <c r="B27" s="7"/>
      <c r="C27" s="21" t="s">
        <v>87</v>
      </c>
      <c r="J27" s="8"/>
    </row>
    <row r="28" spans="2:10" hidden="1" x14ac:dyDescent="0.2">
      <c r="B28" s="7"/>
      <c r="C28" s="21"/>
      <c r="F28" s="2" t="s">
        <v>88</v>
      </c>
      <c r="G28" s="50">
        <f>'Rysaffe summary'!No.of_tr</f>
        <v>1</v>
      </c>
      <c r="J28" s="8"/>
    </row>
    <row r="29" spans="2:10" hidden="1" x14ac:dyDescent="0.2">
      <c r="B29" s="7"/>
      <c r="C29" s="21"/>
      <c r="G29" s="50"/>
      <c r="J29" s="8"/>
    </row>
    <row r="30" spans="2:10" ht="13.5" hidden="1" thickBot="1" x14ac:dyDescent="0.25">
      <c r="B30" s="7"/>
      <c r="C30" s="21" t="s">
        <v>96</v>
      </c>
      <c r="D30" s="36">
        <f ca="1">SUM(D42,D55,D68,D81)</f>
        <v>0</v>
      </c>
      <c r="F30" s="2" t="s">
        <v>97</v>
      </c>
      <c r="G30" s="51">
        <f ca="1">ten_yr_tax-Multiple_ttl</f>
        <v>0</v>
      </c>
      <c r="J30" s="8"/>
    </row>
    <row r="31" spans="2:10" ht="13.5" hidden="1" thickTop="1" x14ac:dyDescent="0.2">
      <c r="B31" s="7"/>
      <c r="J31" s="8"/>
    </row>
    <row r="32" spans="2:10" x14ac:dyDescent="0.2">
      <c r="B32" s="7"/>
      <c r="C32" s="63"/>
      <c r="D32" s="63"/>
      <c r="E32" s="63"/>
      <c r="F32" s="63"/>
      <c r="G32" s="63"/>
      <c r="J32" s="8"/>
    </row>
    <row r="33" spans="2:10" ht="14.25" x14ac:dyDescent="0.2">
      <c r="B33" s="7"/>
      <c r="C33" s="63" t="s">
        <v>98</v>
      </c>
      <c r="D33" s="57">
        <f>IF(No.of_tr&lt;1,0,Value_10/No.of_tr)</f>
        <v>0</v>
      </c>
      <c r="E33" s="63"/>
      <c r="F33" s="63" t="s">
        <v>116</v>
      </c>
      <c r="G33" s="57">
        <f ca="1">current_NRB_10</f>
        <v>376764.07414750004</v>
      </c>
      <c r="J33" s="8"/>
    </row>
    <row r="34" spans="2:10" ht="14.25" x14ac:dyDescent="0.2">
      <c r="B34" s="7"/>
      <c r="C34" s="100" t="s">
        <v>129</v>
      </c>
      <c r="D34" s="101">
        <f>IF(No.of_tr&lt;1,0,Loan_sgl/No.of_tr)</f>
        <v>0</v>
      </c>
      <c r="E34" s="63"/>
      <c r="F34" s="63" t="s">
        <v>44</v>
      </c>
      <c r="G34" s="57">
        <f>previous_transfers_10</f>
        <v>0</v>
      </c>
      <c r="J34" s="8"/>
    </row>
    <row r="35" spans="2:10" x14ac:dyDescent="0.2">
      <c r="B35" s="7"/>
      <c r="C35" s="63"/>
      <c r="D35" s="63"/>
      <c r="E35" s="63"/>
      <c r="F35" s="63"/>
      <c r="G35" s="63"/>
      <c r="J35" s="8"/>
    </row>
    <row r="36" spans="2:10" ht="13.5" thickBot="1" x14ac:dyDescent="0.25">
      <c r="B36" s="7"/>
      <c r="C36" s="41" t="s">
        <v>67</v>
      </c>
      <c r="D36" s="66">
        <f>value_10_1-Loan_1</f>
        <v>0</v>
      </c>
      <c r="E36" s="63"/>
      <c r="F36" s="41" t="s">
        <v>68</v>
      </c>
      <c r="G36" s="67">
        <f ca="1">MAX(current_NRB_10-previous_transfers_10,0)</f>
        <v>376764.07414750004</v>
      </c>
      <c r="J36" s="8"/>
    </row>
    <row r="37" spans="2:10" ht="13.5" thickTop="1" x14ac:dyDescent="0.2">
      <c r="B37" s="7"/>
      <c r="C37" s="63"/>
      <c r="D37" s="63"/>
      <c r="E37" s="63"/>
      <c r="F37" s="63"/>
      <c r="G37" s="63"/>
      <c r="J37" s="8"/>
    </row>
    <row r="38" spans="2:10" ht="13.5" thickBot="1" x14ac:dyDescent="0.25">
      <c r="B38" s="7"/>
      <c r="C38" s="63" t="s">
        <v>0</v>
      </c>
      <c r="D38" s="67">
        <f ca="1">MAX(notional_1-NRB_tr_1,0)</f>
        <v>0</v>
      </c>
      <c r="E38" s="63"/>
      <c r="F38" s="63" t="s">
        <v>70</v>
      </c>
      <c r="G38" s="67">
        <f ca="1">difference_1*20%</f>
        <v>0</v>
      </c>
      <c r="J38" s="8"/>
    </row>
    <row r="39" spans="2:10" ht="13.5" thickTop="1" x14ac:dyDescent="0.2">
      <c r="B39" s="7"/>
      <c r="C39" s="63"/>
      <c r="D39" s="63"/>
      <c r="E39" s="63"/>
      <c r="F39" s="63"/>
      <c r="G39" s="63"/>
      <c r="J39" s="8"/>
    </row>
    <row r="40" spans="2:10" ht="13.5" thickBot="1" x14ac:dyDescent="0.25">
      <c r="B40" s="7"/>
      <c r="C40" s="41" t="s">
        <v>2</v>
      </c>
      <c r="D40" s="68">
        <f ca="1">IFERROR(MIN(Notional_IHT1/notional_1,0.2),0)</f>
        <v>0</v>
      </c>
      <c r="E40" s="63"/>
      <c r="F40" s="41" t="s">
        <v>69</v>
      </c>
      <c r="G40" s="68" cm="1">
        <f t="array" aca="1" ref="G40" ca="1">MIN(eff_rate1*(3/10),0.06)</f>
        <v>0</v>
      </c>
      <c r="J40" s="8"/>
    </row>
    <row r="41" spans="2:10" ht="13.5" thickTop="1" x14ac:dyDescent="0.2">
      <c r="B41" s="7"/>
      <c r="C41" s="63"/>
      <c r="D41" s="63"/>
      <c r="E41" s="63"/>
      <c r="F41" s="63"/>
      <c r="G41" s="63"/>
      <c r="J41" s="8"/>
    </row>
    <row r="42" spans="2:10" ht="13.5" thickBot="1" x14ac:dyDescent="0.25">
      <c r="B42" s="7"/>
      <c r="C42" s="62" t="s">
        <v>92</v>
      </c>
      <c r="D42" s="67">
        <f ca="1">IF((value_10_1-Loan_1)*act_rate1&gt;0,(value_10_1-Loan_1)*act_rate1,0)</f>
        <v>0</v>
      </c>
      <c r="E42" s="63"/>
      <c r="F42" s="63"/>
      <c r="G42" s="63"/>
      <c r="J42" s="8"/>
    </row>
    <row r="43" spans="2:10" ht="13.5" thickTop="1" x14ac:dyDescent="0.2">
      <c r="B43" s="7"/>
      <c r="C43" s="63"/>
      <c r="D43" s="63"/>
      <c r="E43" s="63"/>
      <c r="F43" s="63"/>
      <c r="G43" s="63"/>
      <c r="J43" s="8"/>
    </row>
    <row r="44" spans="2:10" x14ac:dyDescent="0.2">
      <c r="B44" s="7"/>
      <c r="J44" s="8"/>
    </row>
    <row r="45" spans="2:10" x14ac:dyDescent="0.2">
      <c r="B45" s="7"/>
      <c r="C45" s="63"/>
      <c r="D45" s="63"/>
      <c r="E45" s="63"/>
      <c r="F45" s="63"/>
      <c r="G45" s="63"/>
      <c r="J45" s="8"/>
    </row>
    <row r="46" spans="2:10" ht="14.25" x14ac:dyDescent="0.2">
      <c r="B46" s="7"/>
      <c r="C46" s="63" t="s">
        <v>99</v>
      </c>
      <c r="D46" s="57">
        <f>IF(No.of_tr&lt;2,0,Value_10/No.of_tr)</f>
        <v>0</v>
      </c>
      <c r="E46" s="63"/>
      <c r="F46" s="63" t="s">
        <v>116</v>
      </c>
      <c r="G46" s="70">
        <f ca="1">current_NRB_10</f>
        <v>376764.07414750004</v>
      </c>
      <c r="J46" s="8"/>
    </row>
    <row r="47" spans="2:10" ht="14.25" x14ac:dyDescent="0.2">
      <c r="B47" s="7"/>
      <c r="C47" s="100" t="s">
        <v>129</v>
      </c>
      <c r="D47" s="101">
        <f>IF(No.of_tr&lt;2,0,Loan_sgl/No.of_tr)</f>
        <v>0</v>
      </c>
      <c r="E47" s="63"/>
      <c r="F47" s="63" t="s">
        <v>44</v>
      </c>
      <c r="G47" s="57">
        <f>previous_transfers_10</f>
        <v>0</v>
      </c>
      <c r="J47" s="8"/>
    </row>
    <row r="48" spans="2:10" x14ac:dyDescent="0.2">
      <c r="B48" s="7"/>
      <c r="C48" s="63"/>
      <c r="D48" s="63"/>
      <c r="E48" s="63"/>
      <c r="F48" s="63"/>
      <c r="G48" s="63"/>
      <c r="J48" s="8"/>
    </row>
    <row r="49" spans="2:10" ht="13.5" thickBot="1" x14ac:dyDescent="0.25">
      <c r="B49" s="7"/>
      <c r="C49" s="41" t="s">
        <v>67</v>
      </c>
      <c r="D49" s="66">
        <f>SUM(value_10_2-Loan_2)</f>
        <v>0</v>
      </c>
      <c r="E49" s="63"/>
      <c r="F49" s="41" t="s">
        <v>68</v>
      </c>
      <c r="G49" s="67">
        <f ca="1">MAX(current_NRB_10-previous_transfers_10-IF(GIFT_LOAN="Loan",0,(Initial_gift/No.of_tr)),0)</f>
        <v>376764.07414750004</v>
      </c>
      <c r="J49" s="8"/>
    </row>
    <row r="50" spans="2:10" ht="13.5" thickTop="1" x14ac:dyDescent="0.2">
      <c r="B50" s="7"/>
      <c r="C50" s="63"/>
      <c r="D50" s="63"/>
      <c r="E50" s="63"/>
      <c r="F50" s="63"/>
      <c r="G50" s="63"/>
      <c r="J50" s="8"/>
    </row>
    <row r="51" spans="2:10" ht="13.5" thickBot="1" x14ac:dyDescent="0.25">
      <c r="B51" s="7"/>
      <c r="C51" s="63" t="s">
        <v>0</v>
      </c>
      <c r="D51" s="67">
        <f ca="1">MAX(notional_2-NRB_tr_2,0)</f>
        <v>0</v>
      </c>
      <c r="E51" s="63"/>
      <c r="F51" s="63" t="s">
        <v>70</v>
      </c>
      <c r="G51" s="67">
        <f ca="1">difference_2*20%</f>
        <v>0</v>
      </c>
      <c r="J51" s="8"/>
    </row>
    <row r="52" spans="2:10" ht="13.5" thickTop="1" x14ac:dyDescent="0.2">
      <c r="B52" s="7"/>
      <c r="C52" s="63"/>
      <c r="D52" s="63"/>
      <c r="E52" s="63"/>
      <c r="F52" s="63"/>
      <c r="G52" s="63"/>
      <c r="J52" s="8"/>
    </row>
    <row r="53" spans="2:10" ht="13.5" thickBot="1" x14ac:dyDescent="0.25">
      <c r="B53" s="7"/>
      <c r="C53" s="41" t="s">
        <v>2</v>
      </c>
      <c r="D53" s="68">
        <f ca="1">IFERROR(MIN(Notional_IHT2/notional_2,0.2),0)</f>
        <v>0</v>
      </c>
      <c r="E53" s="63"/>
      <c r="F53" s="41" t="s">
        <v>69</v>
      </c>
      <c r="G53" s="68">
        <f ca="1">MIN(eff_rate2*(3/10),0.06)</f>
        <v>0</v>
      </c>
      <c r="J53" s="8"/>
    </row>
    <row r="54" spans="2:10" ht="13.5" thickTop="1" x14ac:dyDescent="0.2">
      <c r="B54" s="7"/>
      <c r="C54" s="63"/>
      <c r="D54" s="63"/>
      <c r="E54" s="63"/>
      <c r="F54" s="63"/>
      <c r="G54" s="63"/>
      <c r="J54" s="8"/>
    </row>
    <row r="55" spans="2:10" ht="13.5" thickBot="1" x14ac:dyDescent="0.25">
      <c r="B55" s="7"/>
      <c r="C55" s="62" t="s">
        <v>93</v>
      </c>
      <c r="D55" s="67">
        <f ca="1">IF((value_10_2-Loan_2)*act_rate2&gt;0,(value_10_2-Loan_2)*act_rate2,0)</f>
        <v>0</v>
      </c>
      <c r="E55" s="63"/>
      <c r="F55" s="63"/>
      <c r="G55" s="63"/>
      <c r="J55" s="8"/>
    </row>
    <row r="56" spans="2:10" ht="13.5" thickTop="1" x14ac:dyDescent="0.2">
      <c r="B56" s="7"/>
      <c r="C56" s="63"/>
      <c r="D56" s="63"/>
      <c r="E56" s="63"/>
      <c r="F56" s="63"/>
      <c r="G56" s="63"/>
      <c r="J56" s="8"/>
    </row>
    <row r="57" spans="2:10" x14ac:dyDescent="0.2">
      <c r="B57" s="7"/>
      <c r="J57" s="8"/>
    </row>
    <row r="58" spans="2:10" x14ac:dyDescent="0.2">
      <c r="B58" s="7"/>
      <c r="C58" s="63"/>
      <c r="D58" s="63"/>
      <c r="E58" s="63"/>
      <c r="F58" s="63"/>
      <c r="G58" s="63"/>
      <c r="J58" s="8"/>
    </row>
    <row r="59" spans="2:10" ht="14.25" x14ac:dyDescent="0.2">
      <c r="B59" s="7"/>
      <c r="C59" s="63" t="s">
        <v>100</v>
      </c>
      <c r="D59" s="57">
        <f>IF(No.of_tr&lt;3,0,Value_10/No.of_tr)</f>
        <v>0</v>
      </c>
      <c r="E59" s="63"/>
      <c r="F59" s="63" t="s">
        <v>116</v>
      </c>
      <c r="G59" s="70">
        <f ca="1">current_NRB_10</f>
        <v>376764.07414750004</v>
      </c>
      <c r="J59" s="8"/>
    </row>
    <row r="60" spans="2:10" ht="14.25" x14ac:dyDescent="0.2">
      <c r="B60" s="7"/>
      <c r="C60" s="100" t="s">
        <v>129</v>
      </c>
      <c r="D60" s="101">
        <f>IF(No.of_tr&lt;3,0,Loan_sgl/No.of_tr)</f>
        <v>0</v>
      </c>
      <c r="E60" s="63"/>
      <c r="F60" s="63" t="s">
        <v>44</v>
      </c>
      <c r="G60" s="63"/>
      <c r="J60" s="8"/>
    </row>
    <row r="61" spans="2:10" x14ac:dyDescent="0.2">
      <c r="B61" s="7"/>
      <c r="C61" s="63"/>
      <c r="D61" s="63"/>
      <c r="E61" s="63"/>
      <c r="F61" s="63"/>
      <c r="G61" s="63"/>
      <c r="J61" s="8"/>
    </row>
    <row r="62" spans="2:10" ht="13.5" thickBot="1" x14ac:dyDescent="0.25">
      <c r="B62" s="7"/>
      <c r="C62" s="41" t="s">
        <v>67</v>
      </c>
      <c r="D62" s="66">
        <f>SUM(value_10_3-Loan_3)</f>
        <v>0</v>
      </c>
      <c r="E62" s="63"/>
      <c r="F62" s="41" t="s">
        <v>68</v>
      </c>
      <c r="G62" s="67">
        <f ca="1">MAX(current_NRB_10-previous_transfers_10-IF(GIFT_LOAN="Loan",0,(Initial_gift/No.of_tr)*2),0)</f>
        <v>376764.07414750004</v>
      </c>
      <c r="J62" s="8"/>
    </row>
    <row r="63" spans="2:10" ht="13.5" thickTop="1" x14ac:dyDescent="0.2">
      <c r="B63" s="7"/>
      <c r="C63" s="63"/>
      <c r="D63" s="63"/>
      <c r="E63" s="63"/>
      <c r="F63" s="63"/>
      <c r="G63" s="63"/>
      <c r="J63" s="8"/>
    </row>
    <row r="64" spans="2:10" ht="13.5" thickBot="1" x14ac:dyDescent="0.25">
      <c r="B64" s="7"/>
      <c r="C64" s="63" t="s">
        <v>0</v>
      </c>
      <c r="D64" s="67">
        <f ca="1">MAX(notional_3-NRB_tr_3,0)</f>
        <v>0</v>
      </c>
      <c r="E64" s="63"/>
      <c r="F64" s="63" t="s">
        <v>70</v>
      </c>
      <c r="G64" s="67">
        <f ca="1">difference_3*20%</f>
        <v>0</v>
      </c>
      <c r="J64" s="8"/>
    </row>
    <row r="65" spans="2:10" ht="13.5" thickTop="1" x14ac:dyDescent="0.2">
      <c r="B65" s="7"/>
      <c r="C65" s="63"/>
      <c r="D65" s="63"/>
      <c r="E65" s="63"/>
      <c r="F65" s="63"/>
      <c r="G65" s="63"/>
      <c r="J65" s="8"/>
    </row>
    <row r="66" spans="2:10" ht="13.5" thickBot="1" x14ac:dyDescent="0.25">
      <c r="B66" s="7"/>
      <c r="C66" s="41" t="s">
        <v>2</v>
      </c>
      <c r="D66" s="68">
        <f ca="1">IFERROR(MIN(Notional_IHT3/notional_3,0.2),0)</f>
        <v>0</v>
      </c>
      <c r="E66" s="63"/>
      <c r="F66" s="41" t="s">
        <v>69</v>
      </c>
      <c r="G66" s="68">
        <f ca="1">MIN(eff_rate3*(3/10),0.06)</f>
        <v>0</v>
      </c>
      <c r="J66" s="8"/>
    </row>
    <row r="67" spans="2:10" ht="13.5" thickTop="1" x14ac:dyDescent="0.2">
      <c r="B67" s="7"/>
      <c r="C67" s="63"/>
      <c r="D67" s="63"/>
      <c r="E67" s="63"/>
      <c r="F67" s="63"/>
      <c r="G67" s="63"/>
      <c r="J67" s="8"/>
    </row>
    <row r="68" spans="2:10" ht="13.5" thickBot="1" x14ac:dyDescent="0.25">
      <c r="B68" s="7"/>
      <c r="C68" s="62" t="s">
        <v>94</v>
      </c>
      <c r="D68" s="67">
        <f ca="1">IF((value_10_3-Loan_3)*act_rate3&gt;0,(value_10_3-Loan_3)*act_rate3,0)</f>
        <v>0</v>
      </c>
      <c r="E68" s="63"/>
      <c r="F68" s="63"/>
      <c r="G68" s="63"/>
      <c r="J68" s="8"/>
    </row>
    <row r="69" spans="2:10" ht="13.5" thickTop="1" x14ac:dyDescent="0.2">
      <c r="B69" s="7"/>
      <c r="C69" s="63"/>
      <c r="D69" s="63"/>
      <c r="E69" s="63"/>
      <c r="F69" s="63"/>
      <c r="G69" s="63"/>
      <c r="J69" s="8"/>
    </row>
    <row r="70" spans="2:10" x14ac:dyDescent="0.2">
      <c r="B70" s="7"/>
      <c r="J70" s="8"/>
    </row>
    <row r="71" spans="2:10" x14ac:dyDescent="0.2">
      <c r="B71" s="7"/>
      <c r="C71" s="63"/>
      <c r="D71" s="63"/>
      <c r="E71" s="63"/>
      <c r="F71" s="63"/>
      <c r="G71" s="63"/>
      <c r="J71" s="8"/>
    </row>
    <row r="72" spans="2:10" ht="14.25" x14ac:dyDescent="0.2">
      <c r="B72" s="7"/>
      <c r="C72" s="63" t="s">
        <v>101</v>
      </c>
      <c r="D72" s="57">
        <f>IF(No.of_tr&lt;4,0,Value_10/No.of_tr)</f>
        <v>0</v>
      </c>
      <c r="E72" s="63"/>
      <c r="F72" s="63" t="s">
        <v>116</v>
      </c>
      <c r="G72" s="70">
        <f ca="1">current_NRB_10</f>
        <v>376764.07414750004</v>
      </c>
      <c r="J72" s="8"/>
    </row>
    <row r="73" spans="2:10" ht="14.25" x14ac:dyDescent="0.2">
      <c r="B73" s="7"/>
      <c r="C73" s="100" t="s">
        <v>129</v>
      </c>
      <c r="D73" s="101">
        <f>IF(No.of_tr&lt;4,0,Loan_sgl/No.of_tr)</f>
        <v>0</v>
      </c>
      <c r="E73" s="63"/>
      <c r="F73" s="63" t="s">
        <v>44</v>
      </c>
      <c r="G73" s="63"/>
      <c r="J73" s="8"/>
    </row>
    <row r="74" spans="2:10" x14ac:dyDescent="0.2">
      <c r="B74" s="7"/>
      <c r="C74" s="63"/>
      <c r="D74" s="63"/>
      <c r="E74" s="63"/>
      <c r="F74" s="63"/>
      <c r="G74" s="63"/>
      <c r="J74" s="8"/>
    </row>
    <row r="75" spans="2:10" ht="13.5" thickBot="1" x14ac:dyDescent="0.25">
      <c r="B75" s="7"/>
      <c r="C75" s="41" t="s">
        <v>67</v>
      </c>
      <c r="D75" s="66">
        <f>SUM(value_10_4-Loan_4)</f>
        <v>0</v>
      </c>
      <c r="E75" s="63"/>
      <c r="F75" s="41" t="s">
        <v>68</v>
      </c>
      <c r="G75" s="67">
        <f ca="1">MAX(current_NRB_10-previous_transfers_10-IF(GIFT_LOAN="Loan",0,(Initial_gift/No.of_tr)*3),0)</f>
        <v>376764.07414750004</v>
      </c>
      <c r="J75" s="8"/>
    </row>
    <row r="76" spans="2:10" ht="13.5" thickTop="1" x14ac:dyDescent="0.2">
      <c r="B76" s="7"/>
      <c r="C76" s="63"/>
      <c r="D76" s="63"/>
      <c r="E76" s="63"/>
      <c r="F76" s="63"/>
      <c r="G76" s="63"/>
      <c r="J76" s="8"/>
    </row>
    <row r="77" spans="2:10" ht="13.5" thickBot="1" x14ac:dyDescent="0.25">
      <c r="B77" s="7"/>
      <c r="C77" s="63" t="s">
        <v>0</v>
      </c>
      <c r="D77" s="67">
        <f ca="1">MAX(notional_4-NRB_tr_4,0)</f>
        <v>0</v>
      </c>
      <c r="E77" s="63"/>
      <c r="F77" s="63" t="s">
        <v>70</v>
      </c>
      <c r="G77" s="67">
        <f ca="1">difference_4*20%</f>
        <v>0</v>
      </c>
      <c r="J77" s="8"/>
    </row>
    <row r="78" spans="2:10" ht="13.5" thickTop="1" x14ac:dyDescent="0.2">
      <c r="B78" s="7"/>
      <c r="C78" s="63"/>
      <c r="D78" s="63"/>
      <c r="E78" s="63"/>
      <c r="F78" s="63"/>
      <c r="G78" s="63"/>
      <c r="J78" s="8"/>
    </row>
    <row r="79" spans="2:10" ht="13.5" thickBot="1" x14ac:dyDescent="0.25">
      <c r="B79" s="7"/>
      <c r="C79" s="41" t="s">
        <v>2</v>
      </c>
      <c r="D79" s="68">
        <f ca="1">IFERROR(MIN(Notional_IHT4/notional_4,0.2),0)</f>
        <v>0</v>
      </c>
      <c r="E79" s="63"/>
      <c r="F79" s="41" t="s">
        <v>69</v>
      </c>
      <c r="G79" s="68">
        <f ca="1">MIN(eff_rate4*(3/10),0.06)</f>
        <v>0</v>
      </c>
      <c r="J79" s="8"/>
    </row>
    <row r="80" spans="2:10" ht="13.5" thickTop="1" x14ac:dyDescent="0.2">
      <c r="B80" s="7"/>
      <c r="C80" s="63"/>
      <c r="D80" s="63"/>
      <c r="E80" s="63"/>
      <c r="F80" s="63"/>
      <c r="G80" s="63"/>
      <c r="J80" s="8"/>
    </row>
    <row r="81" spans="2:10" ht="13.5" thickBot="1" x14ac:dyDescent="0.25">
      <c r="B81" s="7"/>
      <c r="C81" s="62" t="s">
        <v>95</v>
      </c>
      <c r="D81" s="67">
        <f ca="1">IF((value_10_4-Loan_4)*act_rate4&gt;0,(value_10_4-Loan_4)*act_rate4,0)</f>
        <v>0</v>
      </c>
      <c r="E81" s="63"/>
      <c r="F81" s="63"/>
      <c r="G81" s="63"/>
      <c r="J81" s="8"/>
    </row>
    <row r="82" spans="2:10" ht="13.5" thickTop="1" x14ac:dyDescent="0.2">
      <c r="B82" s="7"/>
      <c r="C82" s="63"/>
      <c r="D82" s="63"/>
      <c r="E82" s="63"/>
      <c r="F82" s="63"/>
      <c r="G82" s="63"/>
      <c r="J82" s="8"/>
    </row>
    <row r="83" spans="2:10" x14ac:dyDescent="0.2">
      <c r="B83" s="7"/>
      <c r="J83" s="8"/>
    </row>
    <row r="84" spans="2:10" x14ac:dyDescent="0.2">
      <c r="B84" s="7"/>
      <c r="J84" s="8"/>
    </row>
    <row r="85" spans="2:10" ht="14.25" x14ac:dyDescent="0.2">
      <c r="B85" s="7"/>
      <c r="C85" s="58" t="s">
        <v>105</v>
      </c>
      <c r="D85" s="50"/>
      <c r="E85" s="50"/>
      <c r="F85" s="50"/>
      <c r="G85" s="50"/>
      <c r="H85" s="50"/>
      <c r="J85" s="8"/>
    </row>
    <row r="86" spans="2:10" ht="16.5" customHeight="1" x14ac:dyDescent="0.2">
      <c r="B86" s="7"/>
      <c r="C86" s="87" t="s">
        <v>106</v>
      </c>
      <c r="D86" s="87"/>
      <c r="E86" s="87"/>
      <c r="F86" s="87"/>
      <c r="G86" s="87"/>
      <c r="H86" s="87"/>
      <c r="J86" s="8"/>
    </row>
    <row r="87" spans="2:10" ht="16.5" customHeight="1" x14ac:dyDescent="0.2">
      <c r="B87" s="7"/>
      <c r="C87" s="88" t="s">
        <v>122</v>
      </c>
      <c r="D87" s="88"/>
      <c r="E87" s="88"/>
      <c r="F87" s="88"/>
      <c r="G87" s="88"/>
      <c r="H87" s="88"/>
      <c r="J87" s="8"/>
    </row>
    <row r="88" spans="2:10" ht="30.75" customHeight="1" x14ac:dyDescent="0.2">
      <c r="B88" s="7"/>
      <c r="C88" s="88" t="s">
        <v>112</v>
      </c>
      <c r="D88" s="88"/>
      <c r="E88" s="88"/>
      <c r="F88" s="88"/>
      <c r="G88" s="88"/>
      <c r="H88" s="50"/>
      <c r="J88" s="8"/>
    </row>
    <row r="89" spans="2:10" ht="17.25" customHeight="1" x14ac:dyDescent="0.2">
      <c r="B89" s="7"/>
      <c r="C89" s="88" t="s">
        <v>104</v>
      </c>
      <c r="D89" s="88"/>
      <c r="E89" s="88"/>
      <c r="F89" s="88"/>
      <c r="G89" s="88"/>
      <c r="H89" s="50"/>
      <c r="J89" s="8"/>
    </row>
    <row r="90" spans="2:10" x14ac:dyDescent="0.2">
      <c r="B90" s="7"/>
      <c r="C90" s="88"/>
      <c r="D90" s="88"/>
      <c r="E90" s="88"/>
      <c r="F90" s="88"/>
      <c r="G90" s="88"/>
      <c r="J90" s="8"/>
    </row>
    <row r="91" spans="2:10" ht="15" customHeight="1" x14ac:dyDescent="0.2">
      <c r="B91" s="7"/>
      <c r="C91" s="49"/>
      <c r="D91" s="49"/>
      <c r="E91" s="49"/>
      <c r="F91" s="49"/>
      <c r="G91" s="49"/>
      <c r="H91" s="49"/>
      <c r="I91" s="49"/>
      <c r="J91" s="8"/>
    </row>
    <row r="92" spans="2:10" ht="15" customHeight="1" x14ac:dyDescent="0.2">
      <c r="B92" s="7"/>
      <c r="C92" s="84" t="s">
        <v>111</v>
      </c>
      <c r="D92" s="84"/>
      <c r="E92" s="84"/>
      <c r="F92" s="84"/>
      <c r="G92" s="84"/>
      <c r="H92" s="84"/>
      <c r="I92" s="49"/>
      <c r="J92" s="8"/>
    </row>
    <row r="93" spans="2:10" ht="15" customHeight="1" x14ac:dyDescent="0.2">
      <c r="B93" s="7"/>
      <c r="C93" s="84"/>
      <c r="D93" s="84"/>
      <c r="E93" s="84"/>
      <c r="F93" s="84"/>
      <c r="G93" s="84"/>
      <c r="H93" s="84"/>
      <c r="I93" s="49"/>
      <c r="J93" s="8"/>
    </row>
    <row r="94" spans="2:10" ht="15" customHeight="1" x14ac:dyDescent="0.2">
      <c r="B94" s="7"/>
      <c r="C94" s="84"/>
      <c r="D94" s="84"/>
      <c r="E94" s="84"/>
      <c r="F94" s="84"/>
      <c r="G94" s="84"/>
      <c r="H94" s="84"/>
      <c r="I94" s="49"/>
      <c r="J94" s="8"/>
    </row>
    <row r="95" spans="2:10" ht="15" customHeight="1" x14ac:dyDescent="0.2">
      <c r="B95" s="7"/>
      <c r="C95" s="84"/>
      <c r="D95" s="84"/>
      <c r="E95" s="84"/>
      <c r="F95" s="84"/>
      <c r="G95" s="84"/>
      <c r="H95" s="84"/>
      <c r="I95" s="49"/>
      <c r="J95" s="8"/>
    </row>
    <row r="96" spans="2:10" ht="42" customHeight="1" x14ac:dyDescent="0.2">
      <c r="B96" s="7"/>
      <c r="C96" s="84"/>
      <c r="D96" s="84"/>
      <c r="E96" s="84"/>
      <c r="F96" s="84"/>
      <c r="G96" s="84"/>
      <c r="H96" s="84"/>
      <c r="I96" s="49"/>
      <c r="J96" s="8"/>
    </row>
    <row r="97" spans="2:10" ht="39.75" customHeight="1" x14ac:dyDescent="0.2">
      <c r="B97" s="7"/>
      <c r="C97" s="84"/>
      <c r="D97" s="84"/>
      <c r="E97" s="84"/>
      <c r="F97" s="84"/>
      <c r="G97" s="84"/>
      <c r="H97" s="84"/>
      <c r="I97" s="49"/>
      <c r="J97" s="8"/>
    </row>
    <row r="98" spans="2:10" ht="48.75" customHeight="1" x14ac:dyDescent="0.2">
      <c r="B98" s="7"/>
      <c r="C98" s="84"/>
      <c r="D98" s="84"/>
      <c r="E98" s="84"/>
      <c r="F98" s="84"/>
      <c r="G98" s="84"/>
      <c r="H98" s="84"/>
      <c r="I98" s="49"/>
      <c r="J98" s="8"/>
    </row>
    <row r="99" spans="2:10" ht="15.75" customHeight="1" x14ac:dyDescent="0.2">
      <c r="B99" s="7"/>
      <c r="C99" s="49"/>
      <c r="D99" s="49"/>
      <c r="E99" s="89" t="s">
        <v>36</v>
      </c>
      <c r="F99" s="89"/>
      <c r="G99" s="49"/>
      <c r="H99" s="49"/>
      <c r="I99" s="49"/>
      <c r="J99" s="8"/>
    </row>
    <row r="100" spans="2:10" ht="15.75" customHeight="1" thickBot="1" x14ac:dyDescent="0.25">
      <c r="B100" s="10"/>
      <c r="C100" s="60"/>
      <c r="D100" s="60"/>
      <c r="E100" s="60"/>
      <c r="F100" s="60"/>
      <c r="G100" s="60"/>
      <c r="H100" s="60"/>
      <c r="I100" s="60"/>
      <c r="J100" s="12"/>
    </row>
    <row r="101" spans="2:10" ht="30" customHeight="1" thickTop="1" x14ac:dyDescent="0.2">
      <c r="C101" s="49"/>
      <c r="D101" s="49"/>
      <c r="E101" s="49"/>
      <c r="F101" s="49"/>
      <c r="G101" s="49"/>
      <c r="H101" s="49"/>
      <c r="I101" s="49"/>
    </row>
    <row r="102" spans="2:10" ht="12.75" customHeight="1" x14ac:dyDescent="0.2">
      <c r="C102" s="49"/>
      <c r="D102" s="49"/>
      <c r="E102" s="49"/>
      <c r="F102" s="49"/>
      <c r="G102" s="49"/>
      <c r="H102" s="49"/>
      <c r="I102" s="49"/>
    </row>
    <row r="103" spans="2:10" ht="12.75" hidden="1" customHeight="1" x14ac:dyDescent="0.2">
      <c r="C103" s="49"/>
      <c r="D103" s="49"/>
      <c r="E103" s="49"/>
      <c r="F103" s="49"/>
      <c r="G103" s="49"/>
      <c r="H103" s="49"/>
      <c r="I103" s="49"/>
    </row>
    <row r="104" spans="2:10" ht="12.75" hidden="1" customHeight="1" x14ac:dyDescent="0.2">
      <c r="C104" s="49"/>
      <c r="D104" s="49"/>
      <c r="E104" s="49"/>
      <c r="F104" s="49"/>
      <c r="G104" s="49"/>
      <c r="H104" s="49"/>
      <c r="I104" s="49"/>
    </row>
    <row r="105" spans="2:10" ht="12.75" hidden="1" customHeight="1" x14ac:dyDescent="0.2">
      <c r="C105" s="49"/>
      <c r="D105" s="49"/>
      <c r="E105" s="49"/>
      <c r="F105" s="49"/>
      <c r="G105" s="49"/>
      <c r="H105" s="49"/>
      <c r="I105" s="49"/>
    </row>
    <row r="106" spans="2:10" ht="12.75" hidden="1" customHeight="1" x14ac:dyDescent="0.2">
      <c r="C106" s="49"/>
      <c r="D106" s="49"/>
      <c r="E106" s="49"/>
      <c r="F106" s="49"/>
      <c r="G106" s="49"/>
      <c r="H106" s="49"/>
      <c r="I106" s="49"/>
    </row>
    <row r="111" spans="2:10" hidden="1" x14ac:dyDescent="0.2"/>
    <row r="112" spans="2:10" hidden="1" x14ac:dyDescent="0.2"/>
    <row r="113" s="2" customFormat="1" hidden="1" x14ac:dyDescent="0.2"/>
    <row r="114" s="2" customFormat="1" hidden="1" x14ac:dyDescent="0.2"/>
    <row r="115" s="2" customFormat="1" hidden="1" x14ac:dyDescent="0.2"/>
    <row r="116" s="2" customFormat="1" hidden="1" x14ac:dyDescent="0.2"/>
    <row r="117" s="2" customFormat="1" hidden="1" x14ac:dyDescent="0.2"/>
    <row r="118" s="2" customFormat="1" hidden="1" x14ac:dyDescent="0.2"/>
    <row r="119" s="2" customFormat="1" hidden="1" x14ac:dyDescent="0.2"/>
    <row r="120" s="2" customFormat="1" hidden="1" x14ac:dyDescent="0.2"/>
    <row r="121" s="2" customFormat="1" hidden="1" x14ac:dyDescent="0.2"/>
    <row r="122" s="2" customFormat="1" hidden="1" x14ac:dyDescent="0.2"/>
    <row r="123" s="2" customFormat="1" hidden="1" x14ac:dyDescent="0.2"/>
  </sheetData>
  <sheetProtection algorithmName="SHA-512" hashValue="5W7S+K2xiILI6opNIX/oShEukn6GjumyoyqG8SYUiKej4NLzRYSi5ZfmQExZs0qxAz79aHyLI9AUim9PYo/IKQ==" saltValue="6aM8XvW7P6xgvLi+90nLXQ==" spinCount="100000" sheet="1" selectLockedCells="1" selectUnlockedCells="1"/>
  <mergeCells count="7">
    <mergeCell ref="E99:F99"/>
    <mergeCell ref="C88:G88"/>
    <mergeCell ref="C5:E5"/>
    <mergeCell ref="C86:H86"/>
    <mergeCell ref="C87:H87"/>
    <mergeCell ref="C89:G90"/>
    <mergeCell ref="C92:H98"/>
  </mergeCells>
  <conditionalFormatting sqref="G30">
    <cfRule type="cellIs" dxfId="3" priority="3" operator="greaterThanOrEqual">
      <formula>0</formula>
    </cfRule>
    <cfRule type="cellIs" dxfId="2" priority="4" operator="lessThan">
      <formula>0</formula>
    </cfRule>
  </conditionalFormatting>
  <conditionalFormatting sqref="C15:D15">
    <cfRule type="expression" dxfId="1" priority="2">
      <formula>$D$9="Loan"</formula>
    </cfRule>
  </conditionalFormatting>
  <conditionalFormatting sqref="C34:D34 C47:D47 C60:D60 C73:D73">
    <cfRule type="expression" dxfId="0" priority="1">
      <formula>$D$9="Loan"</formula>
    </cfRule>
  </conditionalFormatting>
  <dataValidations disablePrompts="1" count="1">
    <dataValidation type="whole" allowBlank="1" showInputMessage="1" showErrorMessage="1" sqref="G28" xr:uid="{06EE35AA-9E38-4EDE-856A-AF3A939EFD68}">
      <formula1>1</formula1>
      <formula2>4</formula2>
    </dataValidation>
  </dataValidations>
  <pageMargins left="0.25" right="0.25" top="0.75" bottom="0.75" header="0.3" footer="0.3"/>
  <pageSetup paperSize="9" scale="5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41"/>
  <sheetViews>
    <sheetView showGridLines="0" showRowColHeaders="0" zoomScale="90" zoomScaleNormal="90" workbookViewId="0">
      <selection activeCell="D12" sqref="D12"/>
    </sheetView>
  </sheetViews>
  <sheetFormatPr defaultColWidth="0" defaultRowHeight="12.75" zeroHeight="1" x14ac:dyDescent="0.2"/>
  <cols>
    <col min="1" max="1" width="8.7109375" style="2" customWidth="1"/>
    <col min="2" max="2" width="10.7109375" style="2" customWidth="1"/>
    <col min="3" max="3" width="40.42578125" style="2" bestFit="1" customWidth="1"/>
    <col min="4" max="4" width="16.42578125" style="2" customWidth="1"/>
    <col min="5" max="5" width="11.140625" style="2" customWidth="1"/>
    <col min="6" max="6" width="48.7109375" style="2" bestFit="1" customWidth="1"/>
    <col min="7" max="7" width="15.140625" style="2" customWidth="1"/>
    <col min="8" max="10" width="9.140625" style="2" customWidth="1"/>
    <col min="11" max="11" width="8.7109375" style="2" customWidth="1"/>
    <col min="12" max="16384" width="9.140625" style="2" hidden="1"/>
  </cols>
  <sheetData>
    <row r="1" spans="2:10" ht="30" customHeight="1" thickBot="1" x14ac:dyDescent="0.25"/>
    <row r="2" spans="2:10" ht="13.5" thickTop="1" x14ac:dyDescent="0.2">
      <c r="B2" s="4"/>
      <c r="C2" s="5"/>
      <c r="D2" s="5"/>
      <c r="E2" s="5"/>
      <c r="F2" s="5"/>
      <c r="G2" s="5"/>
      <c r="H2" s="5"/>
      <c r="I2" s="5"/>
      <c r="J2" s="6"/>
    </row>
    <row r="3" spans="2:10" x14ac:dyDescent="0.2">
      <c r="B3" s="7"/>
      <c r="J3" s="8"/>
    </row>
    <row r="4" spans="2:10" x14ac:dyDescent="0.2">
      <c r="B4" s="7"/>
      <c r="J4" s="8"/>
    </row>
    <row r="5" spans="2:10" x14ac:dyDescent="0.2">
      <c r="B5" s="7"/>
      <c r="C5" s="82" t="s">
        <v>60</v>
      </c>
      <c r="D5" s="82"/>
      <c r="E5" s="82"/>
      <c r="J5" s="8"/>
    </row>
    <row r="6" spans="2:10" x14ac:dyDescent="0.2">
      <c r="B6" s="7"/>
      <c r="J6" s="8"/>
    </row>
    <row r="7" spans="2:10" x14ac:dyDescent="0.2">
      <c r="B7" s="7"/>
      <c r="J7" s="8"/>
    </row>
    <row r="8" spans="2:10" x14ac:dyDescent="0.2">
      <c r="B8" s="7"/>
      <c r="J8" s="8"/>
    </row>
    <row r="9" spans="2:10" x14ac:dyDescent="0.2">
      <c r="B9" s="7"/>
      <c r="J9" s="8"/>
    </row>
    <row r="10" spans="2:10" x14ac:dyDescent="0.2">
      <c r="B10" s="7"/>
      <c r="C10" s="21"/>
      <c r="J10" s="8"/>
    </row>
    <row r="11" spans="2:10" x14ac:dyDescent="0.2">
      <c r="B11" s="7"/>
      <c r="J11" s="8"/>
    </row>
    <row r="12" spans="2:10" x14ac:dyDescent="0.2">
      <c r="B12" s="7"/>
      <c r="C12" s="2" t="s">
        <v>16</v>
      </c>
      <c r="D12" s="45">
        <v>0</v>
      </c>
      <c r="E12" s="3"/>
      <c r="F12" s="2" t="s">
        <v>10</v>
      </c>
      <c r="G12" s="45">
        <v>325000</v>
      </c>
      <c r="J12" s="8"/>
    </row>
    <row r="13" spans="2:10" ht="14.25" x14ac:dyDescent="0.2">
      <c r="B13" s="7"/>
      <c r="C13" s="2" t="s">
        <v>23</v>
      </c>
      <c r="D13" s="45">
        <v>0</v>
      </c>
      <c r="E13" s="3"/>
      <c r="F13" s="2" t="s">
        <v>45</v>
      </c>
      <c r="G13" s="45">
        <v>0</v>
      </c>
      <c r="J13" s="8"/>
    </row>
    <row r="14" spans="2:10" x14ac:dyDescent="0.2">
      <c r="B14" s="7"/>
      <c r="C14" s="2" t="s">
        <v>17</v>
      </c>
      <c r="D14" s="45">
        <v>0</v>
      </c>
      <c r="E14" s="3"/>
      <c r="F14" s="2" t="s">
        <v>6</v>
      </c>
      <c r="G14" s="46">
        <v>0</v>
      </c>
      <c r="J14" s="8"/>
    </row>
    <row r="15" spans="2:10" ht="14.25" x14ac:dyDescent="0.2">
      <c r="B15" s="7"/>
      <c r="C15" s="2" t="s">
        <v>24</v>
      </c>
      <c r="D15" s="45">
        <v>0</v>
      </c>
      <c r="E15" s="3"/>
      <c r="G15" s="26"/>
      <c r="J15" s="8"/>
    </row>
    <row r="16" spans="2:10" x14ac:dyDescent="0.2">
      <c r="B16" s="7"/>
      <c r="D16" s="3"/>
      <c r="E16" s="3"/>
      <c r="G16" s="42"/>
      <c r="J16" s="8"/>
    </row>
    <row r="17" spans="2:10" ht="13.5" thickBot="1" x14ac:dyDescent="0.25">
      <c r="B17" s="7"/>
      <c r="C17" s="41" t="s">
        <v>67</v>
      </c>
      <c r="D17" s="36">
        <f>SUM(D12:D15)</f>
        <v>0</v>
      </c>
      <c r="E17" s="3"/>
      <c r="F17" s="41" t="s">
        <v>73</v>
      </c>
      <c r="G17" s="43">
        <f>MAX(NRB_exit-pre_CLT_exit,0)</f>
        <v>325000</v>
      </c>
      <c r="J17" s="8"/>
    </row>
    <row r="18" spans="2:10" ht="13.5" thickTop="1" x14ac:dyDescent="0.2">
      <c r="B18" s="7"/>
      <c r="D18" s="3"/>
      <c r="E18" s="3"/>
      <c r="G18" s="3"/>
      <c r="J18" s="8"/>
    </row>
    <row r="19" spans="2:10" ht="13.5" thickBot="1" x14ac:dyDescent="0.25">
      <c r="B19" s="7"/>
      <c r="C19" s="44" t="s">
        <v>0</v>
      </c>
      <c r="D19" s="36">
        <f>MAX(notional_exit-avail_nrb_exit,0)</f>
        <v>0</v>
      </c>
      <c r="F19" s="2" t="s">
        <v>70</v>
      </c>
      <c r="G19" s="36">
        <f>difference_exit*20%</f>
        <v>0</v>
      </c>
      <c r="J19" s="8"/>
    </row>
    <row r="20" spans="2:10" ht="13.5" thickTop="1" x14ac:dyDescent="0.2">
      <c r="B20" s="7"/>
      <c r="J20" s="8"/>
    </row>
    <row r="21" spans="2:10" x14ac:dyDescent="0.2">
      <c r="B21" s="7"/>
      <c r="J21" s="8"/>
    </row>
    <row r="22" spans="2:10" ht="13.5" thickBot="1" x14ac:dyDescent="0.25">
      <c r="B22" s="7"/>
      <c r="C22" s="34" t="s">
        <v>2</v>
      </c>
      <c r="D22" s="35">
        <f>IFERROR(MIN((G19)/notional_exit,0.2),0)</f>
        <v>0</v>
      </c>
      <c r="E22" s="23"/>
      <c r="F22" s="34" t="s">
        <v>4</v>
      </c>
      <c r="G22" s="35">
        <f>(Eff_exit*30%)</f>
        <v>0</v>
      </c>
      <c r="J22" s="8"/>
    </row>
    <row r="23" spans="2:10" ht="13.5" thickTop="1" x14ac:dyDescent="0.2">
      <c r="B23" s="7"/>
      <c r="J23" s="8"/>
    </row>
    <row r="24" spans="2:10" ht="14.25" x14ac:dyDescent="0.2">
      <c r="B24" s="7"/>
      <c r="C24" s="2" t="s">
        <v>25</v>
      </c>
      <c r="D24" s="45">
        <v>0</v>
      </c>
      <c r="E24" s="3"/>
      <c r="F24" s="2" t="s">
        <v>35</v>
      </c>
      <c r="G24" s="24">
        <f>(distribution_exit_10*act_exit)*(comp_qs/40)</f>
        <v>0</v>
      </c>
      <c r="H24" s="2" t="s">
        <v>30</v>
      </c>
      <c r="J24" s="8"/>
    </row>
    <row r="25" spans="2:10" x14ac:dyDescent="0.2">
      <c r="B25" s="7"/>
      <c r="D25" s="3"/>
      <c r="E25" s="3"/>
      <c r="F25" s="2" t="s">
        <v>34</v>
      </c>
      <c r="G25" s="24">
        <f>distribution_exit_10*(act_exit*100/(100-act_exit*100))*comp_qs/40</f>
        <v>0</v>
      </c>
      <c r="H25" s="2" t="s">
        <v>30</v>
      </c>
      <c r="J25" s="8"/>
    </row>
    <row r="26" spans="2:10" x14ac:dyDescent="0.2">
      <c r="B26" s="7"/>
      <c r="J26" s="8"/>
    </row>
    <row r="27" spans="2:10" x14ac:dyDescent="0.2">
      <c r="B27" s="7"/>
      <c r="J27" s="8"/>
    </row>
    <row r="28" spans="2:10" x14ac:dyDescent="0.2">
      <c r="B28" s="7"/>
      <c r="C28" s="21"/>
      <c r="J28" s="8"/>
    </row>
    <row r="29" spans="2:10" x14ac:dyDescent="0.2">
      <c r="B29" s="7"/>
      <c r="J29" s="8"/>
    </row>
    <row r="30" spans="2:10" x14ac:dyDescent="0.2">
      <c r="B30" s="7"/>
      <c r="J30" s="8"/>
    </row>
    <row r="31" spans="2:10" x14ac:dyDescent="0.2">
      <c r="B31" s="7"/>
      <c r="J31" s="8"/>
    </row>
    <row r="32" spans="2:10" x14ac:dyDescent="0.2">
      <c r="B32" s="7"/>
      <c r="J32" s="8"/>
    </row>
    <row r="33" spans="2:10" ht="70.5" customHeight="1" x14ac:dyDescent="0.2">
      <c r="B33" s="7"/>
      <c r="C33" s="84" t="s">
        <v>84</v>
      </c>
      <c r="D33" s="84"/>
      <c r="E33" s="84"/>
      <c r="F33" s="84"/>
      <c r="G33" s="84"/>
      <c r="H33" s="84"/>
      <c r="J33" s="8"/>
    </row>
    <row r="34" spans="2:10" ht="32.25" customHeight="1" x14ac:dyDescent="0.2">
      <c r="B34" s="7"/>
      <c r="C34" s="84" t="s">
        <v>85</v>
      </c>
      <c r="D34" s="84"/>
      <c r="E34" s="84"/>
      <c r="F34" s="84"/>
      <c r="G34" s="84"/>
      <c r="H34" s="84"/>
      <c r="J34" s="8"/>
    </row>
    <row r="35" spans="2:10" ht="20.25" customHeight="1" x14ac:dyDescent="0.2">
      <c r="B35" s="7"/>
      <c r="C35" s="9" t="s">
        <v>46</v>
      </c>
      <c r="J35" s="8"/>
    </row>
    <row r="36" spans="2:10" ht="20.25" customHeight="1" x14ac:dyDescent="0.2">
      <c r="B36" s="7"/>
      <c r="C36" s="9" t="s">
        <v>31</v>
      </c>
      <c r="J36" s="8"/>
    </row>
    <row r="37" spans="2:10" x14ac:dyDescent="0.2">
      <c r="B37" s="7"/>
      <c r="J37" s="8"/>
    </row>
    <row r="38" spans="2:10" x14ac:dyDescent="0.2">
      <c r="B38" s="7"/>
      <c r="C38" s="84" t="s">
        <v>47</v>
      </c>
      <c r="D38" s="84"/>
      <c r="E38" s="84"/>
      <c r="F38" s="84"/>
      <c r="G38" s="84"/>
      <c r="H38" s="84"/>
      <c r="J38" s="8"/>
    </row>
    <row r="39" spans="2:10" x14ac:dyDescent="0.2">
      <c r="B39" s="7"/>
      <c r="C39" s="84"/>
      <c r="D39" s="84"/>
      <c r="E39" s="84"/>
      <c r="F39" s="84"/>
      <c r="G39" s="84"/>
      <c r="H39" s="84"/>
      <c r="J39" s="8"/>
    </row>
    <row r="40" spans="2:10" ht="15.75" customHeight="1" thickBot="1" x14ac:dyDescent="0.25">
      <c r="B40" s="10"/>
      <c r="C40" s="11"/>
      <c r="D40" s="90" t="s">
        <v>37</v>
      </c>
      <c r="E40" s="90"/>
      <c r="F40" s="90"/>
      <c r="G40" s="11"/>
      <c r="H40" s="11"/>
      <c r="I40" s="11"/>
      <c r="J40" s="12"/>
    </row>
    <row r="41" spans="2:10" ht="30" customHeight="1" thickTop="1" x14ac:dyDescent="0.2"/>
  </sheetData>
  <sheetProtection algorithmName="SHA-512" hashValue="F6KJkWm/tVmINyp8lXTHQQ+m5dazr01Te9UbqkArEOMNePF55N5skk4YO2KAeawwtv8sVrcxUp3JDFeJ9cp17Q==" saltValue="s7y/sZ94TrWK1E3k07OEzA==" spinCount="100000" sheet="1" selectLockedCells="1"/>
  <mergeCells count="5">
    <mergeCell ref="C33:H33"/>
    <mergeCell ref="C38:H39"/>
    <mergeCell ref="D40:F40"/>
    <mergeCell ref="C5:E5"/>
    <mergeCell ref="C34:H34"/>
  </mergeCells>
  <dataValidations count="1">
    <dataValidation type="whole" allowBlank="1" showInputMessage="1" showErrorMessage="1" errorTitle="Incorrect number of quarters" error="Please enter a whole number between 0 and 40" sqref="G14" xr:uid="{EADD5378-E8B1-4CAC-9082-006272A00638}">
      <formula1>0</formula1>
      <formula2>40</formula2>
    </dataValidation>
  </dataValidations>
  <pageMargins left="0.7" right="0.7" top="0.75" bottom="0.75" header="0.3" footer="0.3"/>
  <pageSetup paperSize="9" scale="8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J31"/>
  <sheetViews>
    <sheetView showGridLines="0" showRowColHeaders="0" zoomScaleNormal="100" workbookViewId="0">
      <selection activeCell="D12" sqref="D12"/>
    </sheetView>
  </sheetViews>
  <sheetFormatPr defaultColWidth="0" defaultRowHeight="12.75" zeroHeight="1" x14ac:dyDescent="0.2"/>
  <cols>
    <col min="1" max="1" width="8.7109375" style="2" customWidth="1"/>
    <col min="2" max="2" width="10.7109375" style="2" customWidth="1"/>
    <col min="3" max="3" width="38.5703125" style="2" bestFit="1" customWidth="1"/>
    <col min="4" max="4" width="13.5703125" style="2" customWidth="1"/>
    <col min="5" max="5" width="9.7109375" style="2" customWidth="1"/>
    <col min="6" max="6" width="47.7109375" style="2" customWidth="1"/>
    <col min="7" max="7" width="13.140625" style="2" customWidth="1"/>
    <col min="8" max="9" width="9.140625" style="2" customWidth="1"/>
    <col min="10" max="10" width="8.7109375" style="2" customWidth="1"/>
    <col min="11" max="16384" width="9.140625" style="2" hidden="1"/>
  </cols>
  <sheetData>
    <row r="1" spans="2:10" ht="30" customHeight="1" thickBot="1" x14ac:dyDescent="0.25"/>
    <row r="2" spans="2:10" ht="13.5" thickTop="1" x14ac:dyDescent="0.2">
      <c r="B2" s="4"/>
      <c r="C2" s="5"/>
      <c r="D2" s="5"/>
      <c r="E2" s="5"/>
      <c r="F2" s="5"/>
      <c r="G2" s="5"/>
      <c r="H2" s="5"/>
      <c r="I2" s="6"/>
      <c r="J2" s="7"/>
    </row>
    <row r="3" spans="2:10" x14ac:dyDescent="0.2">
      <c r="B3" s="7"/>
      <c r="I3" s="8"/>
      <c r="J3" s="7"/>
    </row>
    <row r="4" spans="2:10" x14ac:dyDescent="0.2">
      <c r="B4" s="7"/>
      <c r="I4" s="8"/>
      <c r="J4" s="7"/>
    </row>
    <row r="5" spans="2:10" x14ac:dyDescent="0.2">
      <c r="B5" s="7"/>
      <c r="C5" s="82" t="s">
        <v>61</v>
      </c>
      <c r="D5" s="82"/>
      <c r="E5" s="82"/>
      <c r="I5" s="8"/>
      <c r="J5" s="7"/>
    </row>
    <row r="6" spans="2:10" x14ac:dyDescent="0.2">
      <c r="B6" s="7"/>
      <c r="I6" s="8"/>
      <c r="J6" s="7"/>
    </row>
    <row r="7" spans="2:10" x14ac:dyDescent="0.2">
      <c r="B7" s="7"/>
      <c r="I7" s="8"/>
      <c r="J7" s="7"/>
    </row>
    <row r="8" spans="2:10" x14ac:dyDescent="0.2">
      <c r="B8" s="7"/>
      <c r="I8" s="8"/>
      <c r="J8" s="7"/>
    </row>
    <row r="9" spans="2:10" x14ac:dyDescent="0.2">
      <c r="B9" s="7"/>
      <c r="I9" s="8"/>
      <c r="J9" s="7"/>
    </row>
    <row r="10" spans="2:10" x14ac:dyDescent="0.2">
      <c r="B10" s="7"/>
      <c r="I10" s="8"/>
      <c r="J10" s="7"/>
    </row>
    <row r="11" spans="2:10" x14ac:dyDescent="0.2">
      <c r="B11" s="7"/>
      <c r="I11" s="8"/>
      <c r="J11" s="7"/>
    </row>
    <row r="12" spans="2:10" ht="14.25" x14ac:dyDescent="0.2">
      <c r="B12" s="7"/>
      <c r="C12" s="2" t="s">
        <v>26</v>
      </c>
      <c r="D12" s="45">
        <v>0</v>
      </c>
      <c r="E12" s="3"/>
      <c r="F12" s="2" t="s">
        <v>7</v>
      </c>
      <c r="G12" s="48">
        <v>0</v>
      </c>
      <c r="I12" s="8"/>
      <c r="J12" s="7"/>
    </row>
    <row r="13" spans="2:10" ht="14.25" x14ac:dyDescent="0.2">
      <c r="B13" s="7"/>
      <c r="C13" s="2" t="s">
        <v>71</v>
      </c>
      <c r="D13" s="47">
        <v>0</v>
      </c>
      <c r="E13" s="23"/>
      <c r="F13" s="41" t="s">
        <v>32</v>
      </c>
      <c r="G13" s="40">
        <f>(D12*D13)*(G12/40)</f>
        <v>0</v>
      </c>
      <c r="H13" s="2" t="s">
        <v>30</v>
      </c>
      <c r="I13" s="8"/>
      <c r="J13" s="7"/>
    </row>
    <row r="14" spans="2:10" ht="13.5" thickBot="1" x14ac:dyDescent="0.25">
      <c r="B14" s="7"/>
      <c r="F14" s="41" t="s">
        <v>33</v>
      </c>
      <c r="G14" s="36">
        <f>IFERROR((D12/(1-(G13/D12)))*(G13/D12),0)</f>
        <v>0</v>
      </c>
      <c r="H14" s="2" t="s">
        <v>30</v>
      </c>
      <c r="I14" s="8"/>
      <c r="J14" s="7"/>
    </row>
    <row r="15" spans="2:10" ht="13.5" thickTop="1" x14ac:dyDescent="0.2">
      <c r="B15" s="7"/>
      <c r="I15" s="8"/>
      <c r="J15" s="7"/>
    </row>
    <row r="16" spans="2:10" x14ac:dyDescent="0.2">
      <c r="B16" s="7"/>
      <c r="I16" s="8"/>
      <c r="J16" s="7"/>
    </row>
    <row r="17" spans="2:10" x14ac:dyDescent="0.2">
      <c r="B17" s="7"/>
      <c r="I17" s="8"/>
      <c r="J17" s="7"/>
    </row>
    <row r="18" spans="2:10" x14ac:dyDescent="0.2">
      <c r="B18" s="7"/>
      <c r="C18" s="9"/>
      <c r="I18" s="8"/>
      <c r="J18" s="7"/>
    </row>
    <row r="19" spans="2:10" x14ac:dyDescent="0.2">
      <c r="B19" s="7"/>
      <c r="I19" s="8"/>
      <c r="J19" s="7"/>
    </row>
    <row r="20" spans="2:10" x14ac:dyDescent="0.2">
      <c r="B20" s="7"/>
      <c r="I20" s="8"/>
      <c r="J20" s="7"/>
    </row>
    <row r="21" spans="2:10" x14ac:dyDescent="0.2">
      <c r="B21" s="7"/>
      <c r="I21" s="8"/>
      <c r="J21" s="7"/>
    </row>
    <row r="22" spans="2:10" x14ac:dyDescent="0.2">
      <c r="B22" s="7"/>
      <c r="I22" s="8"/>
      <c r="J22" s="7"/>
    </row>
    <row r="23" spans="2:10" x14ac:dyDescent="0.2">
      <c r="B23" s="7"/>
      <c r="I23" s="8"/>
      <c r="J23" s="7"/>
    </row>
    <row r="24" spans="2:10" ht="14.25" x14ac:dyDescent="0.2">
      <c r="B24" s="7"/>
      <c r="C24" s="9" t="s">
        <v>72</v>
      </c>
      <c r="I24" s="8"/>
      <c r="J24" s="7"/>
    </row>
    <row r="25" spans="2:10" ht="14.25" x14ac:dyDescent="0.2">
      <c r="B25" s="7"/>
      <c r="C25" s="2" t="s">
        <v>48</v>
      </c>
      <c r="D25" s="22"/>
      <c r="E25" s="22"/>
      <c r="I25" s="8"/>
      <c r="J25" s="7"/>
    </row>
    <row r="26" spans="2:10" x14ac:dyDescent="0.2">
      <c r="B26" s="7"/>
      <c r="I26" s="8"/>
      <c r="J26" s="7"/>
    </row>
    <row r="27" spans="2:10" x14ac:dyDescent="0.2">
      <c r="B27" s="7"/>
      <c r="C27" s="84" t="s">
        <v>47</v>
      </c>
      <c r="D27" s="84"/>
      <c r="E27" s="84"/>
      <c r="F27" s="84"/>
      <c r="G27" s="84"/>
      <c r="H27" s="84"/>
      <c r="I27" s="8"/>
      <c r="J27" s="7"/>
    </row>
    <row r="28" spans="2:10" x14ac:dyDescent="0.2">
      <c r="B28" s="7"/>
      <c r="C28" s="84"/>
      <c r="D28" s="84"/>
      <c r="E28" s="84"/>
      <c r="F28" s="84"/>
      <c r="G28" s="84"/>
      <c r="H28" s="84"/>
      <c r="I28" s="8"/>
      <c r="J28" s="7"/>
    </row>
    <row r="29" spans="2:10" ht="15.75" customHeight="1" thickBot="1" x14ac:dyDescent="0.25">
      <c r="B29" s="10"/>
      <c r="C29" s="25"/>
      <c r="D29" s="85" t="s">
        <v>38</v>
      </c>
      <c r="E29" s="85"/>
      <c r="F29" s="85"/>
      <c r="G29" s="25"/>
      <c r="H29" s="25"/>
      <c r="I29" s="12"/>
    </row>
    <row r="30" spans="2:10" ht="23.25" customHeight="1" thickTop="1" x14ac:dyDescent="0.2"/>
    <row r="31" spans="2:10" x14ac:dyDescent="0.2"/>
  </sheetData>
  <sheetProtection algorithmName="SHA-512" hashValue="gycgPRM9zKndM9lMN+nvwD/kwHtkB5UPI9VlkDIZsjckdwbHy0t8+FnXE9j1ejV+X0Z/mKdbJ6hH+nQrrvKHOg==" saltValue="o3k0w/6tAbj+2QgkyJptnQ==" spinCount="100000" sheet="1" selectLockedCells="1"/>
  <mergeCells count="3">
    <mergeCell ref="C27:H28"/>
    <mergeCell ref="D29:F29"/>
    <mergeCell ref="C5:E5"/>
  </mergeCells>
  <dataValidations count="2">
    <dataValidation type="whole" allowBlank="1" showInputMessage="1" showErrorMessage="1" errorTitle="Incorrect number of quarters" error="Please enter a whole number between 0 and 40" sqref="G12" xr:uid="{3E599AC3-6178-4044-B93E-7D452FF5A2AA}">
      <formula1>0</formula1>
      <formula2>40</formula2>
    </dataValidation>
    <dataValidation type="decimal" allowBlank="1" showInputMessage="1" showErrorMessage="1" errorTitle="Incorrect rate" error="Enter a % between 0% and 6%" sqref="D13" xr:uid="{A16DF245-E65E-47DE-BAF5-3E01A10A22BC}">
      <formula1>0</formula1>
      <formula2>0.06</formula2>
    </dataValidation>
  </dataValidations>
  <pageMargins left="0.7" right="0.7" top="0.75" bottom="0.75" header="0.3" footer="0.3"/>
  <pageSetup paperSize="9" scale="8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J48"/>
  <sheetViews>
    <sheetView showGridLines="0" showRowColHeaders="0" zoomScale="85" zoomScaleNormal="85" workbookViewId="0"/>
  </sheetViews>
  <sheetFormatPr defaultColWidth="0" defaultRowHeight="14.25" zeroHeight="1" x14ac:dyDescent="0.2"/>
  <cols>
    <col min="1" max="1" width="8.7109375" style="1" customWidth="1"/>
    <col min="2" max="2" width="4.5703125" style="1" customWidth="1"/>
    <col min="3" max="3" width="48.5703125" style="1" bestFit="1" customWidth="1"/>
    <col min="4" max="4" width="14.5703125" style="1" customWidth="1"/>
    <col min="5" max="6" width="9.140625" style="1" customWidth="1"/>
    <col min="7" max="7" width="77.7109375" style="1" customWidth="1"/>
    <col min="8" max="9" width="9.140625" style="1" customWidth="1"/>
    <col min="10" max="10" width="8.7109375" style="1" customWidth="1"/>
    <col min="11" max="16384" width="9.140625" style="1" hidden="1"/>
  </cols>
  <sheetData>
    <row r="1" spans="2:9" ht="30" customHeight="1" thickBot="1" x14ac:dyDescent="0.25"/>
    <row r="2" spans="2:9" ht="15" thickTop="1" x14ac:dyDescent="0.2">
      <c r="B2" s="13"/>
      <c r="C2" s="14"/>
      <c r="D2" s="14"/>
      <c r="E2" s="14"/>
      <c r="F2" s="14"/>
      <c r="G2" s="14"/>
      <c r="H2" s="14"/>
      <c r="I2" s="15"/>
    </row>
    <row r="3" spans="2:9" ht="15.75" customHeight="1" x14ac:dyDescent="0.25">
      <c r="B3" s="28"/>
      <c r="C3" s="96" t="s">
        <v>74</v>
      </c>
      <c r="D3" s="96"/>
      <c r="E3" s="96"/>
      <c r="I3" s="17"/>
    </row>
    <row r="4" spans="2:9" ht="15.75" customHeight="1" x14ac:dyDescent="0.2">
      <c r="B4" s="16"/>
      <c r="F4" s="91" t="s">
        <v>109</v>
      </c>
      <c r="G4" s="92"/>
      <c r="H4" s="92"/>
      <c r="I4" s="93"/>
    </row>
    <row r="5" spans="2:9" ht="15.75" customHeight="1" x14ac:dyDescent="0.25">
      <c r="B5" s="28"/>
      <c r="C5" s="29" t="s">
        <v>27</v>
      </c>
      <c r="F5" s="92"/>
      <c r="G5" s="92"/>
      <c r="H5" s="92"/>
      <c r="I5" s="93"/>
    </row>
    <row r="6" spans="2:9" ht="15" customHeight="1" x14ac:dyDescent="0.25">
      <c r="B6" s="28"/>
      <c r="C6" s="30">
        <f ca="1">TODAY()</f>
        <v>46099</v>
      </c>
      <c r="F6" s="92"/>
      <c r="G6" s="92"/>
      <c r="H6" s="92"/>
      <c r="I6" s="93"/>
    </row>
    <row r="7" spans="2:9" ht="15" x14ac:dyDescent="0.25">
      <c r="B7" s="31"/>
      <c r="F7" s="92"/>
      <c r="G7" s="92"/>
      <c r="H7" s="92"/>
      <c r="I7" s="93"/>
    </row>
    <row r="8" spans="2:9" ht="15" customHeight="1" x14ac:dyDescent="0.2">
      <c r="B8" s="16"/>
      <c r="F8" s="92"/>
      <c r="G8" s="92"/>
      <c r="H8" s="92"/>
      <c r="I8" s="93"/>
    </row>
    <row r="9" spans="2:9" ht="15" customHeight="1" x14ac:dyDescent="0.2">
      <c r="B9" s="7"/>
      <c r="C9" s="2"/>
      <c r="D9" s="2"/>
      <c r="F9" s="92"/>
      <c r="G9" s="92"/>
      <c r="H9" s="92"/>
      <c r="I9" s="93"/>
    </row>
    <row r="10" spans="2:9" ht="15" customHeight="1" x14ac:dyDescent="0.2">
      <c r="B10" s="7"/>
      <c r="C10" s="21" t="s">
        <v>8</v>
      </c>
      <c r="D10" s="2"/>
      <c r="F10" s="92"/>
      <c r="G10" s="92"/>
      <c r="H10" s="92"/>
      <c r="I10" s="93"/>
    </row>
    <row r="11" spans="2:9" ht="15" customHeight="1" x14ac:dyDescent="0.2">
      <c r="B11" s="7"/>
      <c r="C11" s="2"/>
      <c r="D11" s="2"/>
      <c r="F11" s="92"/>
      <c r="G11" s="92"/>
      <c r="H11" s="92"/>
      <c r="I11" s="93"/>
    </row>
    <row r="12" spans="2:9" ht="15" customHeight="1" x14ac:dyDescent="0.2">
      <c r="B12" s="7"/>
      <c r="C12" s="2" t="s">
        <v>9</v>
      </c>
      <c r="D12" s="3">
        <f>Gift_entry</f>
        <v>0</v>
      </c>
      <c r="F12" s="92"/>
      <c r="G12" s="92"/>
      <c r="H12" s="92"/>
      <c r="I12" s="93"/>
    </row>
    <row r="13" spans="2:9" ht="15" customHeight="1" x14ac:dyDescent="0.2">
      <c r="B13" s="7"/>
      <c r="C13" s="2" t="s">
        <v>50</v>
      </c>
      <c r="D13" s="3">
        <f>pre_gifts_entry</f>
        <v>0</v>
      </c>
      <c r="F13" s="92"/>
      <c r="G13" s="92"/>
      <c r="H13" s="92"/>
      <c r="I13" s="93"/>
    </row>
    <row r="14" spans="2:9" ht="15" customHeight="1" x14ac:dyDescent="0.2">
      <c r="B14" s="7"/>
      <c r="C14" s="2" t="s">
        <v>10</v>
      </c>
      <c r="D14" s="3">
        <f>nrb_entry</f>
        <v>325000</v>
      </c>
      <c r="F14" s="92"/>
      <c r="G14" s="92"/>
      <c r="H14" s="92"/>
      <c r="I14" s="93"/>
    </row>
    <row r="15" spans="2:9" ht="15" customHeight="1" x14ac:dyDescent="0.2">
      <c r="B15" s="7"/>
      <c r="C15" s="2" t="s">
        <v>11</v>
      </c>
      <c r="D15" s="3">
        <f>exempt</f>
        <v>0</v>
      </c>
      <c r="F15" s="92"/>
      <c r="G15" s="92"/>
      <c r="H15" s="92"/>
      <c r="I15" s="93"/>
    </row>
    <row r="16" spans="2:9" ht="15" customHeight="1" x14ac:dyDescent="0.2">
      <c r="B16" s="7"/>
      <c r="C16" s="2"/>
      <c r="D16" s="3"/>
      <c r="F16" s="92"/>
      <c r="G16" s="92"/>
      <c r="H16" s="92"/>
      <c r="I16" s="93"/>
    </row>
    <row r="17" spans="2:9" ht="15" customHeight="1" x14ac:dyDescent="0.2">
      <c r="B17" s="7"/>
      <c r="C17" s="2" t="s">
        <v>75</v>
      </c>
      <c r="D17" s="27">
        <f>'Entry charge'!D15</f>
        <v>0</v>
      </c>
      <c r="F17" s="92"/>
      <c r="G17" s="92"/>
      <c r="H17" s="92"/>
      <c r="I17" s="93"/>
    </row>
    <row r="18" spans="2:9" ht="15" customHeight="1" x14ac:dyDescent="0.2">
      <c r="B18" s="7"/>
      <c r="C18" s="2" t="s">
        <v>76</v>
      </c>
      <c r="D18" s="27">
        <f>'Entry charge'!D16</f>
        <v>0</v>
      </c>
      <c r="F18" s="92"/>
      <c r="G18" s="92"/>
      <c r="H18" s="92"/>
      <c r="I18" s="93"/>
    </row>
    <row r="19" spans="2:9" ht="15" customHeight="1" x14ac:dyDescent="0.2">
      <c r="B19" s="7"/>
      <c r="C19" s="2"/>
      <c r="D19" s="2"/>
      <c r="F19" s="92"/>
      <c r="G19" s="92"/>
      <c r="H19" s="92"/>
      <c r="I19" s="93"/>
    </row>
    <row r="20" spans="2:9" ht="14.25" customHeight="1" x14ac:dyDescent="0.2">
      <c r="B20" s="7"/>
      <c r="C20" s="21" t="s">
        <v>51</v>
      </c>
      <c r="D20" s="2"/>
      <c r="F20" s="92"/>
      <c r="G20" s="92"/>
      <c r="H20" s="92"/>
      <c r="I20" s="93"/>
    </row>
    <row r="21" spans="2:9" ht="14.25" customHeight="1" x14ac:dyDescent="0.2">
      <c r="B21" s="7"/>
      <c r="C21" s="2"/>
      <c r="D21" s="2"/>
      <c r="F21" s="92"/>
      <c r="G21" s="92"/>
      <c r="H21" s="92"/>
      <c r="I21" s="93"/>
    </row>
    <row r="22" spans="2:9" ht="14.25" customHeight="1" x14ac:dyDescent="0.2">
      <c r="B22" s="7"/>
      <c r="C22" s="2" t="s">
        <v>77</v>
      </c>
      <c r="D22" s="3">
        <f>Value_10</f>
        <v>0</v>
      </c>
      <c r="F22" s="92"/>
      <c r="G22" s="92"/>
      <c r="H22" s="92"/>
      <c r="I22" s="93"/>
    </row>
    <row r="23" spans="2:9" ht="14.25" customHeight="1" x14ac:dyDescent="0.2">
      <c r="B23" s="7"/>
      <c r="C23" s="2" t="s">
        <v>12</v>
      </c>
      <c r="D23" s="3">
        <f>'10 yr charge'!D12</f>
        <v>0</v>
      </c>
      <c r="F23" s="92"/>
      <c r="G23" s="92"/>
      <c r="H23" s="92"/>
      <c r="I23" s="93"/>
    </row>
    <row r="24" spans="2:9" ht="14.25" customHeight="1" x14ac:dyDescent="0.2">
      <c r="B24" s="7"/>
      <c r="C24" s="2" t="s">
        <v>18</v>
      </c>
      <c r="D24" s="3">
        <f>'10 yr charge'!D13</f>
        <v>0</v>
      </c>
      <c r="F24" s="92"/>
      <c r="G24" s="92"/>
      <c r="H24" s="92"/>
      <c r="I24" s="93"/>
    </row>
    <row r="25" spans="2:9" ht="14.25" customHeight="1" x14ac:dyDescent="0.2">
      <c r="B25" s="7"/>
      <c r="C25" s="2" t="s">
        <v>10</v>
      </c>
      <c r="D25" s="3">
        <f>current_NRB_10</f>
        <v>325000</v>
      </c>
      <c r="F25" s="92"/>
      <c r="G25" s="92"/>
      <c r="H25" s="92"/>
      <c r="I25" s="93"/>
    </row>
    <row r="26" spans="2:9" ht="14.25" customHeight="1" x14ac:dyDescent="0.2">
      <c r="B26" s="7"/>
      <c r="C26" s="2" t="s">
        <v>50</v>
      </c>
      <c r="D26" s="3">
        <f>previous_transfers_10</f>
        <v>0</v>
      </c>
      <c r="F26" s="92"/>
      <c r="G26" s="92"/>
      <c r="H26" s="92"/>
      <c r="I26" s="93"/>
    </row>
    <row r="27" spans="2:9" ht="14.25" customHeight="1" x14ac:dyDescent="0.2">
      <c r="B27" s="7"/>
      <c r="C27" s="2" t="s">
        <v>13</v>
      </c>
      <c r="D27" s="3">
        <f>distributions</f>
        <v>0</v>
      </c>
      <c r="F27" s="92"/>
      <c r="G27" s="92"/>
      <c r="H27" s="92"/>
      <c r="I27" s="93"/>
    </row>
    <row r="28" spans="2:9" ht="14.25" customHeight="1" x14ac:dyDescent="0.2">
      <c r="B28" s="7"/>
      <c r="C28" s="2"/>
      <c r="D28" s="2"/>
      <c r="F28" s="92"/>
      <c r="G28" s="92"/>
      <c r="H28" s="92"/>
      <c r="I28" s="93"/>
    </row>
    <row r="29" spans="2:9" ht="14.25" customHeight="1" x14ac:dyDescent="0.2">
      <c r="B29" s="7"/>
      <c r="C29" s="2" t="s">
        <v>69</v>
      </c>
      <c r="D29" s="23">
        <f>act_rate</f>
        <v>0</v>
      </c>
      <c r="F29" s="92"/>
      <c r="G29" s="92"/>
      <c r="H29" s="92"/>
      <c r="I29" s="93"/>
    </row>
    <row r="30" spans="2:9" ht="14.25" customHeight="1" x14ac:dyDescent="0.2">
      <c r="B30" s="7"/>
      <c r="C30" s="2" t="s">
        <v>14</v>
      </c>
      <c r="D30" s="27">
        <f>ten_yr_tax</f>
        <v>0</v>
      </c>
      <c r="F30" s="92"/>
      <c r="G30" s="92"/>
      <c r="H30" s="92"/>
      <c r="I30" s="93"/>
    </row>
    <row r="31" spans="2:9" ht="14.25" customHeight="1" x14ac:dyDescent="0.2">
      <c r="B31" s="7"/>
      <c r="C31" s="2"/>
      <c r="D31" s="2"/>
      <c r="F31" s="92"/>
      <c r="G31" s="92"/>
      <c r="H31" s="92"/>
      <c r="I31" s="93"/>
    </row>
    <row r="32" spans="2:9" ht="14.25" customHeight="1" x14ac:dyDescent="0.2">
      <c r="B32" s="7"/>
      <c r="C32" s="2"/>
      <c r="D32" s="2"/>
      <c r="F32" s="92"/>
      <c r="G32" s="92"/>
      <c r="H32" s="92"/>
      <c r="I32" s="93"/>
    </row>
    <row r="33" spans="2:9" ht="14.25" customHeight="1" x14ac:dyDescent="0.2">
      <c r="B33" s="7"/>
      <c r="C33" s="21" t="s">
        <v>15</v>
      </c>
      <c r="D33" s="2"/>
      <c r="F33" s="92"/>
      <c r="G33" s="92"/>
      <c r="H33" s="92"/>
      <c r="I33" s="93"/>
    </row>
    <row r="34" spans="2:9" ht="14.25" customHeight="1" x14ac:dyDescent="0.2">
      <c r="B34" s="7"/>
      <c r="C34" s="2"/>
      <c r="D34" s="2"/>
      <c r="F34" s="92"/>
      <c r="G34" s="92"/>
      <c r="H34" s="92"/>
      <c r="I34" s="93"/>
    </row>
    <row r="35" spans="2:9" ht="14.25" customHeight="1" x14ac:dyDescent="0.2">
      <c r="B35" s="7"/>
      <c r="C35" s="2" t="s">
        <v>5</v>
      </c>
      <c r="D35" s="3">
        <f>IF(distribution_exit_10=0,distribution_tenplus,distribution_exit_10)</f>
        <v>0</v>
      </c>
      <c r="F35" s="92"/>
      <c r="G35" s="92"/>
      <c r="H35" s="92"/>
      <c r="I35" s="93"/>
    </row>
    <row r="36" spans="2:9" ht="14.25" customHeight="1" x14ac:dyDescent="0.2">
      <c r="B36" s="7"/>
      <c r="C36" s="2"/>
      <c r="D36" s="3"/>
      <c r="F36" s="92"/>
      <c r="G36" s="92"/>
      <c r="H36" s="92"/>
      <c r="I36" s="93"/>
    </row>
    <row r="37" spans="2:9" ht="14.25" customHeight="1" x14ac:dyDescent="0.2">
      <c r="B37" s="7"/>
      <c r="C37" s="2" t="s">
        <v>4</v>
      </c>
      <c r="D37" s="23">
        <f>IF(distribution_exit_10=0,post_10_act,act_exit)</f>
        <v>0</v>
      </c>
      <c r="F37" s="92"/>
      <c r="G37" s="92"/>
      <c r="H37" s="92"/>
      <c r="I37" s="93"/>
    </row>
    <row r="38" spans="2:9" ht="14.25" customHeight="1" x14ac:dyDescent="0.2">
      <c r="B38" s="7"/>
      <c r="C38" s="2" t="s">
        <v>52</v>
      </c>
      <c r="D38" s="27">
        <f>IF('Exit pre 10 yr'!D24=0,'Exits post 10 yr'!G13,'Exit pre 10 yr'!G24)</f>
        <v>0</v>
      </c>
      <c r="F38" s="92"/>
      <c r="G38" s="92"/>
      <c r="H38" s="92"/>
      <c r="I38" s="93"/>
    </row>
    <row r="39" spans="2:9" ht="14.25" customHeight="1" x14ac:dyDescent="0.2">
      <c r="B39" s="7"/>
      <c r="C39" s="2" t="s">
        <v>53</v>
      </c>
      <c r="D39" s="27">
        <f>IF('Exit pre 10 yr'!D24=0,'Exits post 10 yr'!G14,'Exit pre 10 yr'!G25)</f>
        <v>0</v>
      </c>
      <c r="F39" s="92"/>
      <c r="G39" s="92"/>
      <c r="H39" s="92"/>
      <c r="I39" s="93"/>
    </row>
    <row r="40" spans="2:9" ht="15.75" customHeight="1" thickBot="1" x14ac:dyDescent="0.25">
      <c r="B40" s="10"/>
      <c r="C40" s="11"/>
      <c r="D40" s="11"/>
      <c r="E40" s="19"/>
      <c r="F40" s="94"/>
      <c r="G40" s="94"/>
      <c r="H40" s="94"/>
      <c r="I40" s="95"/>
    </row>
    <row r="41" spans="2:9" ht="30" customHeight="1" thickTop="1" x14ac:dyDescent="0.2"/>
    <row r="42" spans="2:9" hidden="1" x14ac:dyDescent="0.2">
      <c r="C42" s="98"/>
      <c r="D42" s="98"/>
    </row>
    <row r="43" spans="2:9" ht="30.75" hidden="1" customHeight="1" x14ac:dyDescent="0.2">
      <c r="C43" s="98"/>
      <c r="D43" s="98"/>
    </row>
    <row r="44" spans="2:9" ht="30" hidden="1" customHeight="1" x14ac:dyDescent="0.2">
      <c r="C44" s="98"/>
      <c r="D44" s="98"/>
    </row>
    <row r="45" spans="2:9" ht="44.25" hidden="1" customHeight="1" x14ac:dyDescent="0.2">
      <c r="C45" s="98"/>
      <c r="D45" s="98"/>
    </row>
    <row r="46" spans="2:9" ht="45" hidden="1" customHeight="1" x14ac:dyDescent="0.2">
      <c r="C46" s="98"/>
      <c r="D46" s="98"/>
    </row>
    <row r="47" spans="2:9" ht="30" hidden="1" customHeight="1" x14ac:dyDescent="0.2">
      <c r="C47" s="98"/>
      <c r="D47" s="98"/>
    </row>
    <row r="48" spans="2:9" hidden="1" x14ac:dyDescent="0.2">
      <c r="C48" s="97"/>
      <c r="D48" s="97"/>
    </row>
  </sheetData>
  <sheetProtection algorithmName="SHA-512" hashValue="Rld07XwCyV7PTEU1le4mQtzoO0DkAsUoLl+UBilzaejoHLR0O54zrM36Fh51AGlwv5a4LmdAIP9az3370VNxjQ==" saltValue="sS2jqjMmRBPT2NI7Tf5qjw==" spinCount="100000" sheet="1" selectLockedCells="1" selectUnlockedCells="1"/>
  <mergeCells count="9">
    <mergeCell ref="F4:I40"/>
    <mergeCell ref="C3:E3"/>
    <mergeCell ref="C48:D48"/>
    <mergeCell ref="C46:D46"/>
    <mergeCell ref="C47:D47"/>
    <mergeCell ref="C42:D42"/>
    <mergeCell ref="C43:D43"/>
    <mergeCell ref="C44:D44"/>
    <mergeCell ref="C45:D45"/>
  </mergeCells>
  <pageMargins left="0.70866141732283472" right="0.70866141732283472" top="0.74803149606299213" bottom="0.74803149606299213" header="0.31496062992125984" footer="0.31496062992125984"/>
  <pageSetup paperSize="9" scale="7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3A34E-3C17-4027-B65F-6A9375C157A4}">
  <dimension ref="A2:D105"/>
  <sheetViews>
    <sheetView workbookViewId="0">
      <selection activeCell="L27" sqref="L27"/>
    </sheetView>
  </sheetViews>
  <sheetFormatPr defaultRowHeight="15" x14ac:dyDescent="0.25"/>
  <cols>
    <col min="1" max="2" width="10.140625" bestFit="1" customWidth="1"/>
    <col min="3" max="3" width="12.5703125" bestFit="1" customWidth="1"/>
  </cols>
  <sheetData>
    <row r="2" spans="1:3" x14ac:dyDescent="0.25">
      <c r="A2">
        <v>10</v>
      </c>
      <c r="C2" t="s">
        <v>126</v>
      </c>
    </row>
    <row r="3" spans="1:3" x14ac:dyDescent="0.25">
      <c r="A3">
        <v>20</v>
      </c>
      <c r="C3" t="s">
        <v>127</v>
      </c>
    </row>
    <row r="4" spans="1:3" x14ac:dyDescent="0.25">
      <c r="A4">
        <v>30</v>
      </c>
    </row>
    <row r="5" spans="1:3" x14ac:dyDescent="0.25">
      <c r="A5">
        <v>40</v>
      </c>
    </row>
    <row r="6" spans="1:3" x14ac:dyDescent="0.25">
      <c r="A6">
        <v>50</v>
      </c>
    </row>
    <row r="11" spans="1:3" x14ac:dyDescent="0.25">
      <c r="A11" t="s">
        <v>117</v>
      </c>
    </row>
    <row r="12" spans="1:3" x14ac:dyDescent="0.25">
      <c r="A12" t="s">
        <v>118</v>
      </c>
      <c r="B12" t="s">
        <v>119</v>
      </c>
      <c r="C12" t="s">
        <v>120</v>
      </c>
    </row>
    <row r="13" spans="1:3" x14ac:dyDescent="0.25">
      <c r="A13" s="71">
        <v>31489</v>
      </c>
      <c r="B13" s="71">
        <v>31852</v>
      </c>
      <c r="C13" s="72">
        <v>71000</v>
      </c>
    </row>
    <row r="14" spans="1:3" x14ac:dyDescent="0.25">
      <c r="A14" s="71">
        <v>31853</v>
      </c>
      <c r="B14" s="71">
        <v>32216</v>
      </c>
      <c r="C14" s="72">
        <v>90000</v>
      </c>
    </row>
    <row r="15" spans="1:3" x14ac:dyDescent="0.25">
      <c r="A15" s="71">
        <v>32217</v>
      </c>
      <c r="B15" s="71">
        <v>32603</v>
      </c>
      <c r="C15" s="72">
        <v>110000</v>
      </c>
    </row>
    <row r="16" spans="1:3" x14ac:dyDescent="0.25">
      <c r="A16" s="71">
        <v>32604</v>
      </c>
      <c r="B16" s="71">
        <v>32968</v>
      </c>
      <c r="C16" s="72">
        <v>118000</v>
      </c>
    </row>
    <row r="17" spans="1:3" x14ac:dyDescent="0.25">
      <c r="A17" s="71">
        <v>32969</v>
      </c>
      <c r="B17" s="71">
        <v>33333</v>
      </c>
      <c r="C17" s="72">
        <v>128000</v>
      </c>
    </row>
    <row r="18" spans="1:3" x14ac:dyDescent="0.25">
      <c r="A18" s="71">
        <v>33334</v>
      </c>
      <c r="B18" s="71">
        <v>33672</v>
      </c>
      <c r="C18" s="72">
        <v>140000</v>
      </c>
    </row>
    <row r="19" spans="1:3" x14ac:dyDescent="0.25">
      <c r="A19" s="71">
        <v>33673</v>
      </c>
      <c r="B19" s="71">
        <v>34794</v>
      </c>
      <c r="C19" s="72">
        <v>150000</v>
      </c>
    </row>
    <row r="20" spans="1:3" x14ac:dyDescent="0.25">
      <c r="A20" s="71">
        <v>34795</v>
      </c>
      <c r="B20" s="71">
        <v>35160</v>
      </c>
      <c r="C20" s="72">
        <v>154000</v>
      </c>
    </row>
    <row r="21" spans="1:3" x14ac:dyDescent="0.25">
      <c r="A21" s="71">
        <v>35161</v>
      </c>
      <c r="B21" s="71">
        <v>35525</v>
      </c>
      <c r="C21" s="72">
        <v>200000</v>
      </c>
    </row>
    <row r="22" spans="1:3" x14ac:dyDescent="0.25">
      <c r="A22" s="71">
        <v>35526</v>
      </c>
      <c r="B22" s="71">
        <v>35890</v>
      </c>
      <c r="C22" s="72">
        <v>215000</v>
      </c>
    </row>
    <row r="23" spans="1:3" x14ac:dyDescent="0.25">
      <c r="A23" s="71">
        <v>35891</v>
      </c>
      <c r="B23" s="71">
        <v>36255</v>
      </c>
      <c r="C23" s="72">
        <v>223000</v>
      </c>
    </row>
    <row r="24" spans="1:3" x14ac:dyDescent="0.25">
      <c r="A24" s="71">
        <v>36256</v>
      </c>
      <c r="B24" s="71">
        <v>36621</v>
      </c>
      <c r="C24" s="72">
        <v>231000</v>
      </c>
    </row>
    <row r="25" spans="1:3" x14ac:dyDescent="0.25">
      <c r="A25" s="71">
        <v>36622</v>
      </c>
      <c r="B25" s="71">
        <v>36986</v>
      </c>
      <c r="C25" s="72">
        <v>234000</v>
      </c>
    </row>
    <row r="26" spans="1:3" x14ac:dyDescent="0.25">
      <c r="A26" s="71">
        <v>36987</v>
      </c>
      <c r="B26" s="71">
        <v>37351</v>
      </c>
      <c r="C26" s="72">
        <v>242000</v>
      </c>
    </row>
    <row r="27" spans="1:3" x14ac:dyDescent="0.25">
      <c r="A27" s="71">
        <v>37352</v>
      </c>
      <c r="B27" s="71">
        <v>37716</v>
      </c>
      <c r="C27" s="72">
        <v>250000</v>
      </c>
    </row>
    <row r="28" spans="1:3" x14ac:dyDescent="0.25">
      <c r="A28" s="71">
        <v>37717</v>
      </c>
      <c r="B28" s="71">
        <v>38082</v>
      </c>
      <c r="C28" s="72">
        <v>255000</v>
      </c>
    </row>
    <row r="29" spans="1:3" x14ac:dyDescent="0.25">
      <c r="A29" s="71">
        <v>38083</v>
      </c>
      <c r="B29" s="71">
        <v>38447</v>
      </c>
      <c r="C29" s="72">
        <v>263000</v>
      </c>
    </row>
    <row r="30" spans="1:3" x14ac:dyDescent="0.25">
      <c r="A30" s="71">
        <v>38448</v>
      </c>
      <c r="B30" s="71">
        <v>38812</v>
      </c>
      <c r="C30" s="72">
        <v>275000</v>
      </c>
    </row>
    <row r="31" spans="1:3" x14ac:dyDescent="0.25">
      <c r="A31" s="71">
        <v>38813</v>
      </c>
      <c r="B31" s="71">
        <v>39177</v>
      </c>
      <c r="C31" s="72">
        <v>285000</v>
      </c>
    </row>
    <row r="32" spans="1:3" x14ac:dyDescent="0.25">
      <c r="A32" s="71">
        <v>39178</v>
      </c>
      <c r="B32" s="71">
        <v>39543</v>
      </c>
      <c r="C32" s="72">
        <v>300000</v>
      </c>
    </row>
    <row r="33" spans="1:4" x14ac:dyDescent="0.25">
      <c r="A33" s="71">
        <v>39544</v>
      </c>
      <c r="B33" s="71">
        <v>39908</v>
      </c>
      <c r="C33" s="72">
        <v>312000</v>
      </c>
    </row>
    <row r="34" spans="1:4" x14ac:dyDescent="0.25">
      <c r="A34" s="71">
        <v>39909</v>
      </c>
      <c r="B34" s="71">
        <v>46848</v>
      </c>
      <c r="C34" s="72">
        <v>325000</v>
      </c>
    </row>
    <row r="35" spans="1:4" x14ac:dyDescent="0.25">
      <c r="A35" s="71">
        <v>46849</v>
      </c>
      <c r="B35" s="71">
        <v>47213</v>
      </c>
      <c r="C35" s="72">
        <v>325000</v>
      </c>
    </row>
    <row r="36" spans="1:4" x14ac:dyDescent="0.25">
      <c r="A36" s="71">
        <v>47214</v>
      </c>
      <c r="B36" s="71">
        <v>47943</v>
      </c>
      <c r="C36" s="72">
        <v>325000</v>
      </c>
    </row>
    <row r="37" spans="1:4" x14ac:dyDescent="0.25">
      <c r="A37" s="71">
        <v>47944</v>
      </c>
      <c r="B37" s="71">
        <v>48309</v>
      </c>
      <c r="C37" s="72">
        <f t="shared" ref="C37:C68" si="0">C36*(1+infl_assum)</f>
        <v>334750</v>
      </c>
      <c r="D37" s="72"/>
    </row>
    <row r="38" spans="1:4" x14ac:dyDescent="0.25">
      <c r="A38" s="71">
        <v>48310</v>
      </c>
      <c r="B38" s="71">
        <v>48674</v>
      </c>
      <c r="C38" s="72">
        <f t="shared" si="0"/>
        <v>344792.5</v>
      </c>
    </row>
    <row r="39" spans="1:4" x14ac:dyDescent="0.25">
      <c r="A39" s="71">
        <v>48675</v>
      </c>
      <c r="B39" s="71">
        <v>49039</v>
      </c>
      <c r="C39" s="72">
        <f t="shared" si="0"/>
        <v>355136.27500000002</v>
      </c>
    </row>
    <row r="40" spans="1:4" x14ac:dyDescent="0.25">
      <c r="A40" s="71">
        <v>49040</v>
      </c>
      <c r="B40" s="71">
        <v>49404</v>
      </c>
      <c r="C40" s="72">
        <f t="shared" si="0"/>
        <v>365790.36325000005</v>
      </c>
    </row>
    <row r="41" spans="1:4" x14ac:dyDescent="0.25">
      <c r="A41" s="71">
        <v>49405</v>
      </c>
      <c r="B41" s="71">
        <v>49770</v>
      </c>
      <c r="C41" s="72">
        <f t="shared" si="0"/>
        <v>376764.07414750004</v>
      </c>
    </row>
    <row r="42" spans="1:4" x14ac:dyDescent="0.25">
      <c r="A42" s="71">
        <v>49771</v>
      </c>
      <c r="B42" s="71">
        <v>50135</v>
      </c>
      <c r="C42" s="72">
        <f t="shared" si="0"/>
        <v>388066.99637192505</v>
      </c>
    </row>
    <row r="43" spans="1:4" x14ac:dyDescent="0.25">
      <c r="A43" s="71">
        <v>50136</v>
      </c>
      <c r="B43" s="71">
        <v>50500</v>
      </c>
      <c r="C43" s="72">
        <f t="shared" si="0"/>
        <v>399709.00626308279</v>
      </c>
    </row>
    <row r="44" spans="1:4" x14ac:dyDescent="0.25">
      <c r="A44" s="71">
        <v>50501</v>
      </c>
      <c r="B44" s="71">
        <v>50865</v>
      </c>
      <c r="C44" s="72">
        <f t="shared" si="0"/>
        <v>411700.27645097527</v>
      </c>
      <c r="D44" s="72"/>
    </row>
    <row r="45" spans="1:4" x14ac:dyDescent="0.25">
      <c r="A45" s="71">
        <v>50866</v>
      </c>
      <c r="B45" s="71">
        <v>51231</v>
      </c>
      <c r="C45" s="72">
        <f t="shared" si="0"/>
        <v>424051.28474450455</v>
      </c>
    </row>
    <row r="46" spans="1:4" x14ac:dyDescent="0.25">
      <c r="A46" s="71">
        <v>51232</v>
      </c>
      <c r="B46" s="71">
        <v>51596</v>
      </c>
      <c r="C46" s="72">
        <f t="shared" si="0"/>
        <v>436772.8232868397</v>
      </c>
    </row>
    <row r="47" spans="1:4" x14ac:dyDescent="0.25">
      <c r="A47" s="71">
        <v>51597</v>
      </c>
      <c r="B47" s="71">
        <v>51961</v>
      </c>
      <c r="C47" s="72">
        <f t="shared" si="0"/>
        <v>449876.00798544491</v>
      </c>
    </row>
    <row r="48" spans="1:4" x14ac:dyDescent="0.25">
      <c r="A48" s="71">
        <v>51962</v>
      </c>
      <c r="B48" s="71">
        <v>52326</v>
      </c>
      <c r="C48" s="72">
        <f t="shared" si="0"/>
        <v>463372.28822500829</v>
      </c>
    </row>
    <row r="49" spans="1:3" x14ac:dyDescent="0.25">
      <c r="A49" s="71">
        <v>52327</v>
      </c>
      <c r="B49" s="71">
        <v>52692</v>
      </c>
      <c r="C49" s="72">
        <f t="shared" si="0"/>
        <v>477273.45687175856</v>
      </c>
    </row>
    <row r="50" spans="1:3" x14ac:dyDescent="0.25">
      <c r="A50" s="71">
        <v>52693</v>
      </c>
      <c r="B50" s="71">
        <v>53057</v>
      </c>
      <c r="C50" s="72">
        <f t="shared" si="0"/>
        <v>491591.66057791136</v>
      </c>
    </row>
    <row r="51" spans="1:3" x14ac:dyDescent="0.25">
      <c r="A51" s="71">
        <v>53058</v>
      </c>
      <c r="B51" s="71">
        <v>53422</v>
      </c>
      <c r="C51" s="72">
        <f t="shared" si="0"/>
        <v>506339.41039524873</v>
      </c>
    </row>
    <row r="52" spans="1:3" x14ac:dyDescent="0.25">
      <c r="A52" s="71">
        <v>53423</v>
      </c>
      <c r="B52" s="71">
        <v>53787</v>
      </c>
      <c r="C52" s="72">
        <f t="shared" si="0"/>
        <v>521529.5927071062</v>
      </c>
    </row>
    <row r="53" spans="1:3" x14ac:dyDescent="0.25">
      <c r="A53" s="71">
        <v>53788</v>
      </c>
      <c r="B53" s="71">
        <v>54153</v>
      </c>
      <c r="C53" s="72">
        <f t="shared" si="0"/>
        <v>537175.48048831942</v>
      </c>
    </row>
    <row r="54" spans="1:3" x14ac:dyDescent="0.25">
      <c r="A54" s="71">
        <v>54154</v>
      </c>
      <c r="B54" s="71">
        <v>54518</v>
      </c>
      <c r="C54" s="72">
        <f t="shared" si="0"/>
        <v>553290.74490296899</v>
      </c>
    </row>
    <row r="55" spans="1:3" x14ac:dyDescent="0.25">
      <c r="A55" s="71">
        <v>54519</v>
      </c>
      <c r="B55" s="71">
        <v>54883</v>
      </c>
      <c r="C55" s="72">
        <f t="shared" si="0"/>
        <v>569889.46725005808</v>
      </c>
    </row>
    <row r="56" spans="1:3" x14ac:dyDescent="0.25">
      <c r="A56" s="71">
        <v>54884</v>
      </c>
      <c r="B56" s="71">
        <v>55248</v>
      </c>
      <c r="C56" s="72">
        <f t="shared" si="0"/>
        <v>586986.15126755985</v>
      </c>
    </row>
    <row r="57" spans="1:3" x14ac:dyDescent="0.25">
      <c r="A57" s="71">
        <v>55249</v>
      </c>
      <c r="B57" s="71">
        <v>55614</v>
      </c>
      <c r="C57" s="72">
        <f t="shared" si="0"/>
        <v>604595.73580558668</v>
      </c>
    </row>
    <row r="58" spans="1:3" x14ac:dyDescent="0.25">
      <c r="A58" s="71">
        <v>55615</v>
      </c>
      <c r="B58" s="71">
        <v>55979</v>
      </c>
      <c r="C58" s="72">
        <f t="shared" si="0"/>
        <v>622733.60787975427</v>
      </c>
    </row>
    <row r="59" spans="1:3" x14ac:dyDescent="0.25">
      <c r="A59" s="71">
        <v>55980</v>
      </c>
      <c r="B59" s="71">
        <v>56344</v>
      </c>
      <c r="C59" s="72">
        <f t="shared" si="0"/>
        <v>641415.61611614691</v>
      </c>
    </row>
    <row r="60" spans="1:3" x14ac:dyDescent="0.25">
      <c r="A60" s="71">
        <v>56345</v>
      </c>
      <c r="B60" s="71">
        <v>56709</v>
      </c>
      <c r="C60" s="72">
        <f t="shared" si="0"/>
        <v>660658.08459963137</v>
      </c>
    </row>
    <row r="61" spans="1:3" x14ac:dyDescent="0.25">
      <c r="A61" s="71">
        <v>56710</v>
      </c>
      <c r="B61" s="71">
        <v>57075</v>
      </c>
      <c r="C61" s="72">
        <f t="shared" si="0"/>
        <v>680477.8271376203</v>
      </c>
    </row>
    <row r="62" spans="1:3" x14ac:dyDescent="0.25">
      <c r="A62" s="71">
        <v>57076</v>
      </c>
      <c r="B62" s="71">
        <v>57440</v>
      </c>
      <c r="C62" s="72">
        <f t="shared" si="0"/>
        <v>700892.16195174889</v>
      </c>
    </row>
    <row r="63" spans="1:3" x14ac:dyDescent="0.25">
      <c r="A63" s="71">
        <v>57441</v>
      </c>
      <c r="B63" s="71">
        <v>57805</v>
      </c>
      <c r="C63" s="72">
        <f t="shared" si="0"/>
        <v>721918.92681030137</v>
      </c>
    </row>
    <row r="64" spans="1:3" x14ac:dyDescent="0.25">
      <c r="A64" s="71">
        <v>57806</v>
      </c>
      <c r="B64" s="71">
        <v>58170</v>
      </c>
      <c r="C64" s="72">
        <f t="shared" si="0"/>
        <v>743576.49461461045</v>
      </c>
    </row>
    <row r="65" spans="1:3" x14ac:dyDescent="0.25">
      <c r="A65" s="71">
        <v>58171</v>
      </c>
      <c r="B65" s="71">
        <v>58536</v>
      </c>
      <c r="C65" s="72">
        <f t="shared" si="0"/>
        <v>765883.78945304872</v>
      </c>
    </row>
    <row r="66" spans="1:3" x14ac:dyDescent="0.25">
      <c r="A66" s="71">
        <v>58537</v>
      </c>
      <c r="B66" s="71">
        <v>58901</v>
      </c>
      <c r="C66" s="72">
        <f t="shared" si="0"/>
        <v>788860.30313664023</v>
      </c>
    </row>
    <row r="67" spans="1:3" x14ac:dyDescent="0.25">
      <c r="A67" s="71">
        <v>58902</v>
      </c>
      <c r="B67" s="71">
        <v>59266</v>
      </c>
      <c r="C67" s="72">
        <f t="shared" si="0"/>
        <v>812526.11223073944</v>
      </c>
    </row>
    <row r="68" spans="1:3" x14ac:dyDescent="0.25">
      <c r="A68" s="71">
        <v>59267</v>
      </c>
      <c r="B68" s="71">
        <v>59631</v>
      </c>
      <c r="C68" s="72">
        <f t="shared" si="0"/>
        <v>836901.89559766161</v>
      </c>
    </row>
    <row r="69" spans="1:3" x14ac:dyDescent="0.25">
      <c r="A69" s="71">
        <v>59632</v>
      </c>
      <c r="B69" s="71">
        <v>59997</v>
      </c>
      <c r="C69" s="72">
        <f t="shared" ref="C69:C105" si="1">C68*(1+infl_assum)</f>
        <v>862008.95246559149</v>
      </c>
    </row>
    <row r="70" spans="1:3" x14ac:dyDescent="0.25">
      <c r="A70" s="71">
        <v>59998</v>
      </c>
      <c r="B70" s="71">
        <v>60362</v>
      </c>
      <c r="C70" s="72">
        <f t="shared" si="1"/>
        <v>887869.22103955923</v>
      </c>
    </row>
    <row r="71" spans="1:3" x14ac:dyDescent="0.25">
      <c r="A71" s="71">
        <v>60363</v>
      </c>
      <c r="B71" s="71">
        <v>60727</v>
      </c>
      <c r="C71" s="72">
        <f t="shared" si="1"/>
        <v>914505.29767074599</v>
      </c>
    </row>
    <row r="72" spans="1:3" x14ac:dyDescent="0.25">
      <c r="A72" s="71">
        <v>60728</v>
      </c>
      <c r="B72" s="71">
        <v>61092</v>
      </c>
      <c r="C72" s="72">
        <f t="shared" si="1"/>
        <v>941940.45660086838</v>
      </c>
    </row>
    <row r="73" spans="1:3" x14ac:dyDescent="0.25">
      <c r="A73" s="71">
        <v>61093</v>
      </c>
      <c r="B73" s="71">
        <v>61458</v>
      </c>
      <c r="C73" s="72">
        <f t="shared" si="1"/>
        <v>970198.6702988944</v>
      </c>
    </row>
    <row r="74" spans="1:3" x14ac:dyDescent="0.25">
      <c r="A74" s="71">
        <v>61459</v>
      </c>
      <c r="B74" s="71">
        <v>61823</v>
      </c>
      <c r="C74" s="72">
        <f t="shared" si="1"/>
        <v>999304.63040786132</v>
      </c>
    </row>
    <row r="75" spans="1:3" x14ac:dyDescent="0.25">
      <c r="A75" s="71">
        <v>61824</v>
      </c>
      <c r="B75" s="71">
        <v>62188</v>
      </c>
      <c r="C75" s="72">
        <f t="shared" si="1"/>
        <v>1029283.7693200972</v>
      </c>
    </row>
    <row r="76" spans="1:3" x14ac:dyDescent="0.25">
      <c r="A76" s="71">
        <v>62189</v>
      </c>
      <c r="B76" s="71">
        <v>62553</v>
      </c>
      <c r="C76" s="72">
        <f t="shared" si="1"/>
        <v>1060162.2823997</v>
      </c>
    </row>
    <row r="77" spans="1:3" x14ac:dyDescent="0.25">
      <c r="A77" s="71">
        <v>62554</v>
      </c>
      <c r="B77" s="71">
        <v>62919</v>
      </c>
      <c r="C77" s="72">
        <f t="shared" si="1"/>
        <v>1091967.1508716911</v>
      </c>
    </row>
    <row r="78" spans="1:3" x14ac:dyDescent="0.25">
      <c r="A78" s="71">
        <v>62920</v>
      </c>
      <c r="B78" s="71">
        <v>63284</v>
      </c>
      <c r="C78" s="72">
        <f t="shared" si="1"/>
        <v>1124726.1653978417</v>
      </c>
    </row>
    <row r="79" spans="1:3" x14ac:dyDescent="0.25">
      <c r="A79" s="71">
        <v>63285</v>
      </c>
      <c r="B79" s="71">
        <v>63649</v>
      </c>
      <c r="C79" s="72">
        <f t="shared" si="1"/>
        <v>1158467.9503597771</v>
      </c>
    </row>
    <row r="80" spans="1:3" x14ac:dyDescent="0.25">
      <c r="A80" s="71">
        <v>63650</v>
      </c>
      <c r="B80" s="71">
        <v>64014</v>
      </c>
      <c r="C80" s="72">
        <f t="shared" si="1"/>
        <v>1193221.9888705704</v>
      </c>
    </row>
    <row r="81" spans="1:3" x14ac:dyDescent="0.25">
      <c r="A81" s="71">
        <v>64015</v>
      </c>
      <c r="B81" s="71">
        <v>64380</v>
      </c>
      <c r="C81" s="72">
        <f t="shared" si="1"/>
        <v>1229018.6485366875</v>
      </c>
    </row>
    <row r="82" spans="1:3" x14ac:dyDescent="0.25">
      <c r="A82" s="71">
        <v>64381</v>
      </c>
      <c r="B82" s="71">
        <v>64745</v>
      </c>
      <c r="C82" s="72">
        <f t="shared" si="1"/>
        <v>1265889.2079927882</v>
      </c>
    </row>
    <row r="83" spans="1:3" x14ac:dyDescent="0.25">
      <c r="A83" s="71">
        <v>64746</v>
      </c>
      <c r="B83" s="71">
        <v>65110</v>
      </c>
      <c r="C83" s="72">
        <f t="shared" si="1"/>
        <v>1303865.8842325718</v>
      </c>
    </row>
    <row r="84" spans="1:3" x14ac:dyDescent="0.25">
      <c r="A84" s="71">
        <v>65111</v>
      </c>
      <c r="B84" s="71">
        <v>65475</v>
      </c>
      <c r="C84" s="72">
        <f t="shared" si="1"/>
        <v>1342981.8607595491</v>
      </c>
    </row>
    <row r="85" spans="1:3" x14ac:dyDescent="0.25">
      <c r="A85" s="71">
        <v>65476</v>
      </c>
      <c r="B85" s="71">
        <v>65841</v>
      </c>
      <c r="C85" s="72">
        <f t="shared" si="1"/>
        <v>1383271.3165823356</v>
      </c>
    </row>
    <row r="86" spans="1:3" x14ac:dyDescent="0.25">
      <c r="A86" s="71">
        <v>65842</v>
      </c>
      <c r="B86" s="71">
        <v>66206</v>
      </c>
      <c r="C86" s="72">
        <f t="shared" si="1"/>
        <v>1424769.4560798057</v>
      </c>
    </row>
    <row r="87" spans="1:3" x14ac:dyDescent="0.25">
      <c r="A87" s="71">
        <v>66207</v>
      </c>
      <c r="B87" s="71">
        <v>66571</v>
      </c>
      <c r="C87" s="72">
        <f t="shared" si="1"/>
        <v>1467512.5397621999</v>
      </c>
    </row>
    <row r="88" spans="1:3" x14ac:dyDescent="0.25">
      <c r="A88" s="71">
        <v>66572</v>
      </c>
      <c r="B88" s="71">
        <v>66936</v>
      </c>
      <c r="C88" s="72">
        <f t="shared" si="1"/>
        <v>1511537.915955066</v>
      </c>
    </row>
    <row r="89" spans="1:3" x14ac:dyDescent="0.25">
      <c r="A89" s="71">
        <v>66937</v>
      </c>
      <c r="B89" s="71">
        <v>67302</v>
      </c>
      <c r="C89" s="72">
        <f t="shared" si="1"/>
        <v>1556884.0534337179</v>
      </c>
    </row>
    <row r="90" spans="1:3" x14ac:dyDescent="0.25">
      <c r="A90" s="71">
        <v>67303</v>
      </c>
      <c r="B90" s="71">
        <v>67667</v>
      </c>
      <c r="C90" s="72">
        <f t="shared" si="1"/>
        <v>1603590.5750367295</v>
      </c>
    </row>
    <row r="91" spans="1:3" x14ac:dyDescent="0.25">
      <c r="A91" s="71">
        <v>67668</v>
      </c>
      <c r="B91" s="71">
        <v>68032</v>
      </c>
      <c r="C91" s="72">
        <f t="shared" si="1"/>
        <v>1651698.2922878314</v>
      </c>
    </row>
    <row r="92" spans="1:3" x14ac:dyDescent="0.25">
      <c r="A92" s="71">
        <v>68033</v>
      </c>
      <c r="B92" s="71">
        <v>68397</v>
      </c>
      <c r="C92" s="72">
        <f t="shared" si="1"/>
        <v>1701249.2410564665</v>
      </c>
    </row>
    <row r="93" spans="1:3" x14ac:dyDescent="0.25">
      <c r="A93" s="71">
        <v>68398</v>
      </c>
      <c r="B93" s="71">
        <v>68763</v>
      </c>
      <c r="C93" s="72">
        <f t="shared" si="1"/>
        <v>1752286.7182881606</v>
      </c>
    </row>
    <row r="94" spans="1:3" x14ac:dyDescent="0.25">
      <c r="A94" s="71">
        <v>68764</v>
      </c>
      <c r="B94" s="71">
        <v>69128</v>
      </c>
      <c r="C94" s="72">
        <f t="shared" si="1"/>
        <v>1804855.3198368056</v>
      </c>
    </row>
    <row r="95" spans="1:3" x14ac:dyDescent="0.25">
      <c r="A95" s="71">
        <v>69129</v>
      </c>
      <c r="B95" s="71">
        <v>69493</v>
      </c>
      <c r="C95" s="72">
        <f t="shared" si="1"/>
        <v>1859000.9794319097</v>
      </c>
    </row>
    <row r="96" spans="1:3" x14ac:dyDescent="0.25">
      <c r="A96" s="71">
        <v>69494</v>
      </c>
      <c r="B96" s="71">
        <v>69858</v>
      </c>
      <c r="C96" s="72">
        <f t="shared" si="1"/>
        <v>1914771.0088148671</v>
      </c>
    </row>
    <row r="97" spans="1:3" x14ac:dyDescent="0.25">
      <c r="A97" s="71">
        <v>69859</v>
      </c>
      <c r="B97" s="71">
        <v>70224</v>
      </c>
      <c r="C97" s="72">
        <f t="shared" si="1"/>
        <v>1972214.1390793133</v>
      </c>
    </row>
    <row r="98" spans="1:3" x14ac:dyDescent="0.25">
      <c r="A98" s="71">
        <v>70225</v>
      </c>
      <c r="B98" s="71">
        <v>70589</v>
      </c>
      <c r="C98" s="72">
        <f t="shared" si="1"/>
        <v>2031380.5632516928</v>
      </c>
    </row>
    <row r="99" spans="1:3" x14ac:dyDescent="0.25">
      <c r="A99" s="71">
        <v>70590</v>
      </c>
      <c r="B99" s="71">
        <v>70954</v>
      </c>
      <c r="C99" s="72">
        <f t="shared" si="1"/>
        <v>2092321.9801492437</v>
      </c>
    </row>
    <row r="100" spans="1:3" x14ac:dyDescent="0.25">
      <c r="A100" s="71">
        <v>70955</v>
      </c>
      <c r="B100" s="71">
        <v>71319</v>
      </c>
      <c r="C100" s="72">
        <f t="shared" si="1"/>
        <v>2155091.6395537211</v>
      </c>
    </row>
    <row r="101" spans="1:3" x14ac:dyDescent="0.25">
      <c r="A101" s="71">
        <v>71320</v>
      </c>
      <c r="B101" s="71">
        <v>71685</v>
      </c>
      <c r="C101" s="72">
        <f t="shared" si="1"/>
        <v>2219744.3887403328</v>
      </c>
    </row>
    <row r="102" spans="1:3" x14ac:dyDescent="0.25">
      <c r="A102" s="71">
        <v>71686</v>
      </c>
      <c r="B102" s="71">
        <v>72050</v>
      </c>
      <c r="C102" s="72">
        <f t="shared" si="1"/>
        <v>2286336.720402543</v>
      </c>
    </row>
    <row r="103" spans="1:3" x14ac:dyDescent="0.25">
      <c r="A103" s="71">
        <v>72051</v>
      </c>
      <c r="B103" s="71">
        <v>72415</v>
      </c>
      <c r="C103" s="72">
        <f t="shared" si="1"/>
        <v>2354926.8220146191</v>
      </c>
    </row>
    <row r="104" spans="1:3" x14ac:dyDescent="0.25">
      <c r="A104" s="71">
        <v>72416</v>
      </c>
      <c r="B104" s="71">
        <v>72780</v>
      </c>
      <c r="C104" s="72">
        <f t="shared" si="1"/>
        <v>2425574.6266750577</v>
      </c>
    </row>
    <row r="105" spans="1:3" x14ac:dyDescent="0.25">
      <c r="A105" s="71">
        <v>72781</v>
      </c>
      <c r="B105" s="71">
        <v>73145</v>
      </c>
      <c r="C105" s="72">
        <f t="shared" si="1"/>
        <v>2498341.8654753095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29493e11-43b2-444c-9949-93e4e79e13ca" origin="userSelected">
  <element uid="id_classification_nonbusiness" value=""/>
</sisl>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BA9AAEA-E92C-4BB1-8C8A-C3361EA56C52}">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FB9EFCDB-B291-45F3-8268-732CB6B0CD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9DA490C-EBB6-471C-AD1C-4584F194E4EB}">
  <ds:schemaRefs>
    <ds:schemaRef ds:uri="http://schemas.microsoft.com/sharepoint/v3/contenttype/forms"/>
  </ds:schemaRefs>
</ds:datastoreItem>
</file>

<file path=customXml/itemProps4.xml><?xml version="1.0" encoding="utf-8"?>
<ds:datastoreItem xmlns:ds="http://schemas.openxmlformats.org/officeDocument/2006/customXml" ds:itemID="{856328A4-8CB8-4754-B3C6-63C8D621716D}">
  <ds:schemaRefs>
    <ds:schemaRef ds:uri="http://purl.org/dc/dcmitype/"/>
    <ds:schemaRef ds:uri="http://purl.org/dc/elements/1.1/"/>
    <ds:schemaRef ds:uri="http://purl.org/dc/term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93</vt:i4>
      </vt:variant>
    </vt:vector>
  </HeadingPairs>
  <TitlesOfParts>
    <vt:vector size="103" baseType="lpstr">
      <vt:lpstr>Menu</vt:lpstr>
      <vt:lpstr>Entry charge</vt:lpstr>
      <vt:lpstr>10 yr charge</vt:lpstr>
      <vt:lpstr>Rysaffe summary</vt:lpstr>
      <vt:lpstr>Rysaffe breakdown</vt:lpstr>
      <vt:lpstr>Exit pre 10 yr</vt:lpstr>
      <vt:lpstr>Exits post 10 yr</vt:lpstr>
      <vt:lpstr>Print screen</vt:lpstr>
      <vt:lpstr>Lists</vt:lpstr>
      <vt:lpstr>Control sheet</vt:lpstr>
      <vt:lpstr>act_exit</vt:lpstr>
      <vt:lpstr>'Rysaffe breakdown'!act_rate</vt:lpstr>
      <vt:lpstr>act_rate</vt:lpstr>
      <vt:lpstr>act_rate1</vt:lpstr>
      <vt:lpstr>act_rate2</vt:lpstr>
      <vt:lpstr>act_rate3</vt:lpstr>
      <vt:lpstr>act_rate4</vt:lpstr>
      <vt:lpstr>avail_nrb_exit</vt:lpstr>
      <vt:lpstr>comp_qs</vt:lpstr>
      <vt:lpstr>'Rysaffe breakdown'!current_NRB_10</vt:lpstr>
      <vt:lpstr>'Rysaffe summary'!current_NRB_10</vt:lpstr>
      <vt:lpstr>current_NRB_10</vt:lpstr>
      <vt:lpstr>'Rysaffe breakdown'!difference</vt:lpstr>
      <vt:lpstr>difference</vt:lpstr>
      <vt:lpstr>difference_1</vt:lpstr>
      <vt:lpstr>difference_2</vt:lpstr>
      <vt:lpstr>difference_3</vt:lpstr>
      <vt:lpstr>difference_4</vt:lpstr>
      <vt:lpstr>difference_exit</vt:lpstr>
      <vt:lpstr>distribution_exit_10</vt:lpstr>
      <vt:lpstr>distribution_tenplus</vt:lpstr>
      <vt:lpstr>distributions</vt:lpstr>
      <vt:lpstr>Eff_exit</vt:lpstr>
      <vt:lpstr>'Rysaffe breakdown'!eff_rate</vt:lpstr>
      <vt:lpstr>eff_rate</vt:lpstr>
      <vt:lpstr>eff_rate1</vt:lpstr>
      <vt:lpstr>eff_rate2</vt:lpstr>
      <vt:lpstr>eff_rate3</vt:lpstr>
      <vt:lpstr>eff_rate4</vt:lpstr>
      <vt:lpstr>exempt</vt:lpstr>
      <vt:lpstr>Gift_entry</vt:lpstr>
      <vt:lpstr>GIFT_LOAN</vt:lpstr>
      <vt:lpstr>infl_assum</vt:lpstr>
      <vt:lpstr>'Rysaffe summary'!Initial_gift</vt:lpstr>
      <vt:lpstr>Initial_gift</vt:lpstr>
      <vt:lpstr>Initial_type</vt:lpstr>
      <vt:lpstr>Loan_1</vt:lpstr>
      <vt:lpstr>Loan_2</vt:lpstr>
      <vt:lpstr>Loan_3</vt:lpstr>
      <vt:lpstr>Loan_4</vt:lpstr>
      <vt:lpstr>Loan_sgl</vt:lpstr>
      <vt:lpstr>Multiple_ttl</vt:lpstr>
      <vt:lpstr>'Rysaffe summary'!No.of_tr</vt:lpstr>
      <vt:lpstr>No.of_tr</vt:lpstr>
      <vt:lpstr>'Rysaffe breakdown'!notional</vt:lpstr>
      <vt:lpstr>notional</vt:lpstr>
      <vt:lpstr>notional_1</vt:lpstr>
      <vt:lpstr>notional_2</vt:lpstr>
      <vt:lpstr>notional_3</vt:lpstr>
      <vt:lpstr>notional_4</vt:lpstr>
      <vt:lpstr>notional_exit</vt:lpstr>
      <vt:lpstr>'Rysaffe breakdown'!notional_IHT</vt:lpstr>
      <vt:lpstr>notional_IHT</vt:lpstr>
      <vt:lpstr>Notional_IHT1</vt:lpstr>
      <vt:lpstr>Notional_IHT2</vt:lpstr>
      <vt:lpstr>Notional_IHT3</vt:lpstr>
      <vt:lpstr>Notional_IHT4</vt:lpstr>
      <vt:lpstr>'Rysaffe breakdown'!nrb_10</vt:lpstr>
      <vt:lpstr>nrb_10</vt:lpstr>
      <vt:lpstr>nrb_entry</vt:lpstr>
      <vt:lpstr>NRB_exit</vt:lpstr>
      <vt:lpstr>NRB_tr_1</vt:lpstr>
      <vt:lpstr>NRB_tr_2</vt:lpstr>
      <vt:lpstr>NRB_tr_3</vt:lpstr>
      <vt:lpstr>NRB_tr_4</vt:lpstr>
      <vt:lpstr>post_10_act</vt:lpstr>
      <vt:lpstr>pre_CLT_exit</vt:lpstr>
      <vt:lpstr>pre_gifts_entry</vt:lpstr>
      <vt:lpstr>'Rysaffe breakdown'!previous_transfers_10</vt:lpstr>
      <vt:lpstr>'Rysaffe summary'!previous_transfers_10</vt:lpstr>
      <vt:lpstr>previous_transfers_10</vt:lpstr>
      <vt:lpstr>'Exit pre 10 yr'!Print_Area</vt:lpstr>
      <vt:lpstr>'Exits post 10 yr'!Print_Area</vt:lpstr>
      <vt:lpstr>'Print screen'!Print_Area</vt:lpstr>
      <vt:lpstr>'Rysaffe summary'!projection_term</vt:lpstr>
      <vt:lpstr>projection_term</vt:lpstr>
      <vt:lpstr>'Rysaffe summary'!return</vt:lpstr>
      <vt:lpstr>return</vt:lpstr>
      <vt:lpstr>ten_years</vt:lpstr>
      <vt:lpstr>'Rysaffe breakdown'!ten_yr_tax</vt:lpstr>
      <vt:lpstr>'Rysaffe summary'!ten_yr_tax</vt:lpstr>
      <vt:lpstr>ten_yr_tax</vt:lpstr>
      <vt:lpstr>ten_yr_tax1</vt:lpstr>
      <vt:lpstr>ten_yr_tax2</vt:lpstr>
      <vt:lpstr>ten_yr_tax3</vt:lpstr>
      <vt:lpstr>ten_yr_tax4</vt:lpstr>
      <vt:lpstr>'Rysaffe breakdown'!Value_10</vt:lpstr>
      <vt:lpstr>'Rysaffe summary'!Value_10</vt:lpstr>
      <vt:lpstr>Value_10</vt:lpstr>
      <vt:lpstr>value_10_1</vt:lpstr>
      <vt:lpstr>value_10_2</vt:lpstr>
      <vt:lpstr>value_10_3</vt:lpstr>
      <vt:lpstr>value_10_4</vt:lpstr>
    </vt:vector>
  </TitlesOfParts>
  <Company>Old Mutual Wealth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Moore, Shaun</dc:creator>
  <cp:lastModifiedBy>Moore, Shaun</cp:lastModifiedBy>
  <cp:lastPrinted>2026-03-09T10:56:36Z</cp:lastPrinted>
  <dcterms:created xsi:type="dcterms:W3CDTF">2015-05-15T10:43:36Z</dcterms:created>
  <dcterms:modified xsi:type="dcterms:W3CDTF">2026-03-18T15:56:51Z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1fbc0bbd-c8b9-4ade-b1a5-5ec885389117</vt:lpwstr>
  </property>
  <property fmtid="{D5CDD505-2E9C-101B-9397-08002B2CF9AE}" pid="3" name="bjSaver">
    <vt:lpwstr>4rFabTb/9uU2x7324BdMaCzo80emPV7i</vt:lpwstr>
  </property>
  <property fmtid="{D5CDD505-2E9C-101B-9397-08002B2CF9AE}" pid="4" name="_NewReviewCycle">
    <vt:lpwstr/>
  </property>
  <property fmtid="{D5CDD505-2E9C-101B-9397-08002B2CF9AE}" pid="5" name="bjDocumentSecurityLabel">
    <vt:lpwstr>PUBLIC</vt:lpwstr>
  </property>
  <property fmtid="{D5CDD505-2E9C-101B-9397-08002B2CF9AE}" pid="6" name="bjDocumentLabelXML">
    <vt:lpwstr>&lt;?xml version="1.0" encoding="us-ascii"?&gt;&lt;sisl xmlns:xsi="http://www.w3.org/2001/XMLSchema-instance" xmlns:xsd="http://www.w3.org/2001/XMLSchema" sislVersion="0" policy="29493e11-43b2-444c-9949-93e4e79e13ca" origin="userSelected" xmlns="http://www.boldonj</vt:lpwstr>
  </property>
  <property fmtid="{D5CDD505-2E9C-101B-9397-08002B2CF9AE}" pid="7" name="bjDocumentLabelXML-0">
    <vt:lpwstr>ames.com/2008/01/sie/internal/label"&gt;&lt;element uid="id_classification_nonbusiness" value="" /&gt;&lt;/sisl&gt;</vt:lpwstr>
  </property>
  <property fmtid="{D5CDD505-2E9C-101B-9397-08002B2CF9AE}" pid="8" name="MSIP_Label_6c98d367-e486-496c-b15f-fe4920252c73_Enabled">
    <vt:lpwstr>true</vt:lpwstr>
  </property>
  <property fmtid="{D5CDD505-2E9C-101B-9397-08002B2CF9AE}" pid="9" name="MSIP_Label_6c98d367-e486-496c-b15f-fe4920252c73_SetDate">
    <vt:lpwstr>2021-05-20T13:24:51Z</vt:lpwstr>
  </property>
  <property fmtid="{D5CDD505-2E9C-101B-9397-08002B2CF9AE}" pid="10" name="MSIP_Label_6c98d367-e486-496c-b15f-fe4920252c73_Method">
    <vt:lpwstr>Privileged</vt:lpwstr>
  </property>
  <property fmtid="{D5CDD505-2E9C-101B-9397-08002B2CF9AE}" pid="11" name="MSIP_Label_6c98d367-e486-496c-b15f-fe4920252c73_Name">
    <vt:lpwstr>6c98d367-e486-496c-b15f-fe4920252c73</vt:lpwstr>
  </property>
  <property fmtid="{D5CDD505-2E9C-101B-9397-08002B2CF9AE}" pid="12" name="MSIP_Label_6c98d367-e486-496c-b15f-fe4920252c73_SiteId">
    <vt:lpwstr>0c5bd621-4db2-45d4-92c6-94708f93fa6e</vt:lpwstr>
  </property>
  <property fmtid="{D5CDD505-2E9C-101B-9397-08002B2CF9AE}" pid="13" name="MSIP_Label_6c98d367-e486-496c-b15f-fe4920252c73_ActionId">
    <vt:lpwstr>47a6773f-72f7-48c1-b13b-3395aabfddce</vt:lpwstr>
  </property>
  <property fmtid="{D5CDD505-2E9C-101B-9397-08002B2CF9AE}" pid="14" name="MSIP_Label_6c98d367-e486-496c-b15f-fe4920252c73_ContentBits">
    <vt:lpwstr>0</vt:lpwstr>
  </property>
</Properties>
</file>