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N:\Product Management\Platform\Resources\Tools\Scheme Specific TFC\"/>
    </mc:Choice>
  </mc:AlternateContent>
  <xr:revisionPtr revIDLastSave="0" documentId="13_ncr:1_{F34EB627-846E-4D12-8B69-E17D60DA42E8}" xr6:coauthVersionLast="47" xr6:coauthVersionMax="47" xr10:uidLastSave="{00000000-0000-0000-0000-000000000000}"/>
  <bookViews>
    <workbookView xWindow="-10695" yWindow="-21555" windowWidth="39210" windowHeight="20850" xr2:uid="{A1581277-FD29-45B5-AB17-EABD864122CA}"/>
  </bookViews>
  <sheets>
    <sheet name="Summary" sheetId="1" r:id="rId1"/>
    <sheet name="Sheet2" sheetId="2" r:id="rId2"/>
  </sheets>
  <definedNames>
    <definedName name="ADAY_Fund_Value">Summary!$D$10</definedName>
    <definedName name="Aday_LTA_amount_TFC">Sheet2!$C$14</definedName>
    <definedName name="ADAY_TFC_entitlement">Summary!$D$8</definedName>
    <definedName name="Aday_TFC_equals_Aday_fund_value">Sheet2!$C$35</definedName>
    <definedName name="Aday_TFC_exceeds_Aday_fund_value">Sheet2!$C$33</definedName>
    <definedName name="Aday_TFC_lessthan_25pc_of_Aday_fund">Sheet2!$C$31</definedName>
    <definedName name="Aday_TFC_zero">Sheet2!$C$30</definedName>
    <definedName name="ALSA_from_fundgrowth">Sheet2!$C$22</definedName>
    <definedName name="ALSA_when_LTA_charge_applies">Sheet2!$C$24</definedName>
    <definedName name="Calcd_max_TFC_at_BCE">Summary!$D$24</definedName>
    <definedName name="calcd_Total_TFC">Sheet2!$C$25</definedName>
    <definedName name="Calculated_TFC_equals_BCE_fund_value">Sheet2!$C$37</definedName>
    <definedName name="Calculated_TFC_exceeds_BCE_fund_value">Sheet2!$C$36</definedName>
    <definedName name="Clients_LTA">Sheet2!$C$19</definedName>
    <definedName name="Enhancement_factor_for_Revalued_Aday_cash">Sheet2!$C$16</definedName>
    <definedName name="Excess_of_LTA_charge">Sheet2!$C$23</definedName>
    <definedName name="Fund_value_at_BCE">Summary!$D$12</definedName>
    <definedName name="Individual_PLA">Summary!$D$16</definedName>
    <definedName name="Individual_protection_amount_error">Summary!$E$16</definedName>
    <definedName name="LTA_amount_on_Aday">Sheet2!$C$13</definedName>
    <definedName name="LTA_available">Sheet2!$G$24</definedName>
    <definedName name="LTA_protection">Summary!$D$14</definedName>
    <definedName name="Positive_input_values">Sheet2!$C$29</definedName>
    <definedName name="_xlnm.Print_Area" localSheetId="0">Summary!$B$1:$Q$31</definedName>
    <definedName name="revalued_Aday_fundvalue">Sheet2!$C$21</definedName>
    <definedName name="Revalued_Aday_TFC">Sheet2!$C$20</definedName>
    <definedName name="SLA">Sheet2!$C$12</definedName>
    <definedName name="TFC_equals_BCE_FV_text">Sheet2!$K$37</definedName>
    <definedName name="TFC_exceeds_BCE_FV_text">Sheet2!$K$36</definedName>
    <definedName name="TFCpc">Sheet2!$C$15</definedName>
    <definedName name="Total_TFC_for_Result_Cell">Sheet2!$C$26</definedName>
    <definedName name="valid_inputs">Sheet2!$C$34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 l="1"/>
  <c r="D9" i="2"/>
  <c r="D10" i="2"/>
  <c r="C10" i="2"/>
  <c r="C9" i="2"/>
  <c r="C8" i="2"/>
  <c r="L18" i="1" l="1"/>
  <c r="G18" i="1"/>
  <c r="L16" i="1"/>
  <c r="G16" i="1"/>
  <c r="B29" i="1"/>
  <c r="E16" i="1" l="1"/>
  <c r="D23" i="2"/>
  <c r="C23" i="2" l="1"/>
  <c r="C24" i="2" s="1"/>
  <c r="C35" i="2"/>
  <c r="C33" i="2"/>
  <c r="C31" i="2"/>
  <c r="C30" i="2"/>
  <c r="C29" i="2"/>
  <c r="D12" i="2"/>
  <c r="C20" i="2"/>
  <c r="L10" i="1" s="1"/>
  <c r="C2" i="2"/>
  <c r="D3" i="2"/>
  <c r="D4" i="2"/>
  <c r="D5" i="2"/>
  <c r="D6" i="2"/>
  <c r="D7" i="2"/>
  <c r="C7" i="2"/>
  <c r="C6" i="2"/>
  <c r="D2" i="2" l="1"/>
  <c r="C19" i="2" s="1"/>
  <c r="G8" i="1"/>
  <c r="B26" i="1"/>
  <c r="E8" i="1" s="1"/>
  <c r="C34" i="2" l="1"/>
  <c r="C21" i="2"/>
  <c r="C22" i="2" s="1"/>
  <c r="L12" i="1"/>
  <c r="C25" i="2" l="1"/>
  <c r="C26" i="2" s="1"/>
  <c r="D24" i="1" l="1"/>
  <c r="D20" i="1" s="1"/>
  <c r="D22" i="1" l="1"/>
  <c r="C37" i="2" s="1"/>
  <c r="C36" i="2" l="1"/>
  <c r="B27" i="1" l="1"/>
  <c r="E24" i="1" s="1"/>
  <c r="B28" i="1"/>
</calcChain>
</file>

<file path=xl/sharedStrings.xml><?xml version="1.0" encoding="utf-8"?>
<sst xmlns="http://schemas.openxmlformats.org/spreadsheetml/2006/main" count="73" uniqueCount="69">
  <si>
    <t>Fixed protection 2012</t>
  </si>
  <si>
    <t>Fixed protection 2014</t>
  </si>
  <si>
    <t>Fixed protection 2016</t>
  </si>
  <si>
    <t>Individual protection 2014</t>
  </si>
  <si>
    <t>Individual protection 2016</t>
  </si>
  <si>
    <t>Current fund value</t>
  </si>
  <si>
    <t>Remaining LTA</t>
  </si>
  <si>
    <t>No protection</t>
  </si>
  <si>
    <t>Input</t>
  </si>
  <si>
    <t>Result</t>
  </si>
  <si>
    <t>Total TFC</t>
  </si>
  <si>
    <t>How the calculation works</t>
  </si>
  <si>
    <t>(1)</t>
  </si>
  <si>
    <t>(2)</t>
  </si>
  <si>
    <t>Fund value @ 5/4/06</t>
  </si>
  <si>
    <t>LTA on Aday</t>
  </si>
  <si>
    <t>Standard Lifetime Allowance (SLA)</t>
  </si>
  <si>
    <t>TFC on Aday LTA amount</t>
  </si>
  <si>
    <t>TFC percentage used in formulae</t>
  </si>
  <si>
    <t>Enhancement factor for Revalued Aday cash</t>
  </si>
  <si>
    <t>Data</t>
  </si>
  <si>
    <t>Calculated values</t>
  </si>
  <si>
    <t>Lifetime Allowance Applicable to member</t>
  </si>
  <si>
    <t>Revalued A-day cash</t>
  </si>
  <si>
    <t>ALSA (when no LTA excess charge)</t>
  </si>
  <si>
    <t>Excess of LTA charge (25% of any excess)</t>
  </si>
  <si>
    <t>ALSA (when excess LTA charge applies)</t>
  </si>
  <si>
    <t>Total TFC for Result Cell</t>
  </si>
  <si>
    <t>Calculate the revalued A-day fund value</t>
  </si>
  <si>
    <t>Validations</t>
  </si>
  <si>
    <t>Positive Aday TFC &amp; Fund Value, and BCE fund value</t>
  </si>
  <si>
    <t>if FALSE then no result</t>
  </si>
  <si>
    <t>Valid BCE fund but Aday TFC zero</t>
  </si>
  <si>
    <t>if TRUE then TFC = 25% of BCE fund</t>
  </si>
  <si>
    <t>Aday TFC less than 25% Aday fund</t>
  </si>
  <si>
    <t>More than 1 Fixed or Individual Protection selected</t>
  </si>
  <si>
    <t>if TRUE then no result</t>
  </si>
  <si>
    <t>Aday TFC greater than Aday fund value</t>
  </si>
  <si>
    <t>Aday TFC = Aday fund value</t>
  </si>
  <si>
    <t>if TRUE, "see red comments", TFC depends on whether kept entitlement</t>
  </si>
  <si>
    <t>Calculated TFC exceeds BCE fund value</t>
  </si>
  <si>
    <t>if TRUE, max TFC = BCE fund - 1p</t>
  </si>
  <si>
    <t>Calculated TFC equals BCE fund value</t>
  </si>
  <si>
    <t>not possible</t>
  </si>
  <si>
    <t>Input Error: TFC entitlement must be more than 25% of the fund value at 05/04/2006 for a scheme-specific TFC entitlement to apply</t>
  </si>
  <si>
    <t>Input Error: TFC entitlement cannot be more than fund value at 05/04/2006</t>
  </si>
  <si>
    <t>(this comes from 1,800,000/1,500,000)</t>
  </si>
  <si>
    <t>no longer required after LTA tax removed</t>
  </si>
  <si>
    <t>valid inputs</t>
  </si>
  <si>
    <t>Potential stand-alone lump sum</t>
  </si>
  <si>
    <t># As the potential TFC entitlement exceeds the current fund value and is not a stand-alone lump sum, the TFC entitlement is restricted to the current fund value minus £0.01</t>
  </si>
  <si>
    <t># As the potential TFC entitlement equals the current fund value and is not a stand-alone lump sum, the TFC entitlement is restricted to the current fund value minus £0.01</t>
  </si>
  <si>
    <t>Definition of terms</t>
  </si>
  <si>
    <t>Disclaimer</t>
  </si>
  <si>
    <t>ILSDBA protection</t>
  </si>
  <si>
    <t>Tax-free cash @ 5/4/06</t>
  </si>
  <si>
    <t xml:space="preserve"> 5/4/06 TFC revalued = [A x 1.2]</t>
  </si>
  <si>
    <t>TFC on fund growth =  [B  - (C x (D/£1,500,000))]/ 4</t>
  </si>
  <si>
    <t>C = Fund value @ 5/4/06</t>
  </si>
  <si>
    <t>Tax-free cash on fund growth</t>
  </si>
  <si>
    <t>Total tax-free cash</t>
  </si>
  <si>
    <t>Scheme specific tax-free cash calculator post 6/4/2024</t>
  </si>
  <si>
    <t>5/4/06 tax-free cash revalued</t>
  </si>
  <si>
    <t>Individual Protected amount</t>
  </si>
  <si>
    <t>D = ILSDBA protection</t>
  </si>
  <si>
    <t>This calculator assumes there have been no transfers out. Transfers out will reduce the TFC on fund growth and will need a manual calculation.
Tax-free cash is only tax-free if it is within the clients remaining ILSDBA. Any amount that exceeds ILSDBA will be taxable. 
This is based on Quilter's interpretation of the law and HM Revenue and Customs' practice from March 2026. We believe that this interpretation is correct, but cannot guarantee it.</t>
  </si>
  <si>
    <t>Enhanced protection</t>
  </si>
  <si>
    <t>Primary protection</t>
  </si>
  <si>
    <t>LTA enhancement factors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</si>
</sst>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family val="2"/>
      <scheme val="minor"/>
    </font>
    <font>
      <sz val="11"/>
      <color theme="1"/>
      <name val="Open Sans"/>
      <family val="2"/>
    </font>
    <font>
      <sz val="12"/>
      <color theme="1"/>
      <name val="Open Sans"/>
      <family val="2"/>
    </font>
    <font>
      <b/>
      <sz val="12"/>
      <color theme="0"/>
      <name val="Open Sans"/>
      <family val="2"/>
    </font>
    <font>
      <b/>
      <sz val="20"/>
      <color theme="9" tint="-0.499984740745262"/>
      <name val="Open Sans"/>
      <family val="2"/>
    </font>
    <font>
      <b/>
      <sz val="20"/>
      <color rgb="FF007935"/>
      <name val="Open Sans"/>
      <family val="2"/>
    </font>
    <font>
      <sz val="10"/>
      <color theme="1"/>
      <name val="Open Sans"/>
      <family val="2"/>
    </font>
    <font>
      <b/>
      <sz val="10"/>
      <color theme="1"/>
      <name val="Open Sans"/>
      <family val="2"/>
    </font>
    <font>
      <b/>
      <sz val="10"/>
      <color rgb="FF007935"/>
      <name val="Open Sans"/>
      <family val="2"/>
    </font>
    <font>
      <b/>
      <sz val="12"/>
      <color theme="1"/>
      <name val="Open Sans"/>
      <family val="2"/>
    </font>
    <font>
      <sz val="10"/>
      <name val="Open Sans"/>
      <family val="2"/>
    </font>
    <font>
      <sz val="9"/>
      <color theme="1"/>
      <name val="Open Sans"/>
      <family val="2"/>
    </font>
    <font>
      <sz val="11"/>
      <color theme="1"/>
      <name val="Calibri"/>
      <family val="2"/>
      <scheme val="minor"/>
    </font>
    <font>
      <sz val="12"/>
      <name val="Open Sans"/>
      <family val="2"/>
    </font>
    <font>
      <sz val="8"/>
      <name val="Open Sans"/>
      <family val="2"/>
    </font>
    <font>
      <b/>
      <sz val="10"/>
      <color rgb="FFFF0000"/>
      <name val="Open Sans"/>
      <family val="2"/>
    </font>
    <font>
      <sz val="12"/>
      <color rgb="FF000000"/>
      <name val="Open Sans"/>
      <family val="2"/>
    </font>
    <font>
      <sz val="8"/>
      <name val="Calibri"/>
      <family val="2"/>
      <scheme val="minor"/>
    </font>
  </fonts>
  <fills count="10">
    <fill>
      <patternFill patternType="none"/>
    </fill>
    <fill>
      <patternFill patternType="gray125"/>
    </fill>
    <fill>
      <patternFill patternType="solid">
        <fgColor theme="6" tint="0.79998168889431442"/>
        <bgColor indexed="64"/>
      </patternFill>
    </fill>
    <fill>
      <patternFill patternType="solid">
        <fgColor rgb="FFE3F3C9"/>
        <bgColor indexed="64"/>
      </patternFill>
    </fill>
    <fill>
      <patternFill patternType="solid">
        <fgColor indexed="9"/>
        <bgColor indexed="64"/>
      </patternFill>
    </fill>
    <fill>
      <patternFill patternType="solid">
        <fgColor theme="0" tint="-0.34998626667073579"/>
        <bgColor indexed="64"/>
      </patternFill>
    </fill>
    <fill>
      <patternFill patternType="solid">
        <fgColor rgb="FF0F7B3F"/>
        <bgColor indexed="64"/>
      </patternFill>
    </fill>
    <fill>
      <patternFill patternType="solid">
        <fgColor rgb="FFB2D5D2"/>
        <bgColor indexed="64"/>
      </patternFill>
    </fill>
    <fill>
      <patternFill patternType="solid">
        <fgColor rgb="FFE0D0CF"/>
        <bgColor indexed="64"/>
      </patternFill>
    </fill>
    <fill>
      <patternFill patternType="solid">
        <fgColor rgb="FFECECEC"/>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xf numFmtId="9" fontId="12" fillId="0" borderId="0" applyFont="0" applyFill="0" applyBorder="0" applyAlignment="0" applyProtection="0"/>
  </cellStyleXfs>
  <cellXfs count="109">
    <xf numFmtId="0" fontId="0" fillId="0" borderId="0" xfId="0"/>
    <xf numFmtId="0" fontId="2" fillId="0" borderId="0" xfId="0" applyFont="1"/>
    <xf numFmtId="0" fontId="2" fillId="2" borderId="0" xfId="0" applyFont="1" applyFill="1"/>
    <xf numFmtId="0" fontId="2" fillId="3" borderId="3" xfId="0" applyFont="1" applyFill="1" applyBorder="1"/>
    <xf numFmtId="0" fontId="6" fillId="0" borderId="0" xfId="0" applyFont="1"/>
    <xf numFmtId="0" fontId="6" fillId="0" borderId="0" xfId="0" applyFont="1" applyAlignment="1">
      <alignment horizontal="center"/>
    </xf>
    <xf numFmtId="0" fontId="3" fillId="0" borderId="0" xfId="0" applyFont="1"/>
    <xf numFmtId="0" fontId="10" fillId="0" borderId="0" xfId="0" applyFont="1" applyAlignment="1">
      <alignment horizontal="center"/>
    </xf>
    <xf numFmtId="0" fontId="1" fillId="0" borderId="0" xfId="0" applyFont="1"/>
    <xf numFmtId="164" fontId="13" fillId="4" borderId="0" xfId="0" applyNumberFormat="1" applyFont="1" applyFill="1"/>
    <xf numFmtId="164" fontId="2" fillId="0" borderId="0" xfId="0" applyNumberFormat="1" applyFont="1"/>
    <xf numFmtId="0" fontId="13" fillId="4" borderId="0" xfId="0" applyFont="1" applyFill="1"/>
    <xf numFmtId="9" fontId="13" fillId="4" borderId="0" xfId="1" applyFont="1" applyFill="1" applyProtection="1"/>
    <xf numFmtId="164" fontId="9" fillId="2" borderId="3" xfId="0" applyNumberFormat="1" applyFont="1" applyFill="1" applyBorder="1"/>
    <xf numFmtId="0" fontId="9" fillId="0" borderId="21" xfId="0" applyFont="1" applyBorder="1"/>
    <xf numFmtId="164" fontId="2" fillId="0" borderId="0" xfId="0" applyNumberFormat="1" applyFont="1" applyAlignment="1">
      <alignment horizontal="right"/>
    </xf>
    <xf numFmtId="0" fontId="2" fillId="0" borderId="0" xfId="0" applyFont="1" applyAlignment="1">
      <alignment horizontal="right"/>
    </xf>
    <xf numFmtId="0" fontId="10" fillId="4" borderId="0" xfId="0" applyFont="1" applyFill="1"/>
    <xf numFmtId="0" fontId="14" fillId="4" borderId="0" xfId="0" applyFont="1" applyFill="1"/>
    <xf numFmtId="0" fontId="13" fillId="5" borderId="0" xfId="0" applyFont="1" applyFill="1"/>
    <xf numFmtId="164" fontId="2" fillId="5" borderId="0" xfId="0" applyNumberFormat="1" applyFont="1" applyFill="1"/>
    <xf numFmtId="14" fontId="2" fillId="5" borderId="0" xfId="0" applyNumberFormat="1" applyFont="1" applyFill="1"/>
    <xf numFmtId="0" fontId="2" fillId="5" borderId="0" xfId="0" applyFont="1" applyFill="1"/>
    <xf numFmtId="0" fontId="13" fillId="4" borderId="0" xfId="0" applyFont="1" applyFill="1" applyAlignment="1">
      <alignment horizontal="center"/>
    </xf>
    <xf numFmtId="0" fontId="15" fillId="0" borderId="0" xfId="0" applyFont="1" applyAlignment="1">
      <alignment horizontal="center"/>
    </xf>
    <xf numFmtId="0" fontId="6" fillId="8" borderId="10" xfId="0" applyFont="1" applyFill="1" applyBorder="1" applyAlignment="1">
      <alignment horizontal="left" indent="1"/>
    </xf>
    <xf numFmtId="0" fontId="2" fillId="8" borderId="11" xfId="0" applyFont="1" applyFill="1" applyBorder="1" applyAlignment="1">
      <alignment horizontal="center"/>
    </xf>
    <xf numFmtId="0" fontId="2" fillId="8" borderId="12" xfId="0" applyFont="1" applyFill="1" applyBorder="1" applyAlignment="1">
      <alignment horizontal="center"/>
    </xf>
    <xf numFmtId="0" fontId="6" fillId="8" borderId="13" xfId="0" applyFont="1" applyFill="1" applyBorder="1" applyAlignment="1">
      <alignment horizontal="left" indent="1"/>
    </xf>
    <xf numFmtId="0" fontId="2" fillId="8" borderId="0" xfId="0" applyFont="1" applyFill="1" applyAlignment="1">
      <alignment horizontal="center"/>
    </xf>
    <xf numFmtId="0" fontId="2" fillId="8" borderId="14" xfId="0" applyFont="1" applyFill="1" applyBorder="1" applyAlignment="1">
      <alignment horizontal="center"/>
    </xf>
    <xf numFmtId="0" fontId="15" fillId="8" borderId="13" xfId="0" applyFont="1" applyFill="1" applyBorder="1" applyAlignment="1">
      <alignment horizontal="left" indent="1"/>
    </xf>
    <xf numFmtId="0" fontId="2" fillId="8" borderId="15" xfId="0" applyFont="1" applyFill="1" applyBorder="1" applyAlignment="1">
      <alignment horizontal="center"/>
    </xf>
    <xf numFmtId="0" fontId="2" fillId="8" borderId="16" xfId="0" applyFont="1" applyFill="1" applyBorder="1" applyAlignment="1">
      <alignment horizontal="center"/>
    </xf>
    <xf numFmtId="0" fontId="2" fillId="8" borderId="17" xfId="0" applyFont="1" applyFill="1" applyBorder="1" applyAlignment="1">
      <alignment horizontal="center"/>
    </xf>
    <xf numFmtId="0" fontId="2" fillId="7" borderId="3" xfId="0" applyFont="1" applyFill="1" applyBorder="1"/>
    <xf numFmtId="0" fontId="2" fillId="7" borderId="1" xfId="0" applyFont="1" applyFill="1" applyBorder="1"/>
    <xf numFmtId="0" fontId="16" fillId="9" borderId="20" xfId="0" applyFont="1" applyFill="1" applyBorder="1"/>
    <xf numFmtId="0" fontId="2" fillId="9" borderId="20" xfId="0" applyFont="1" applyFill="1" applyBorder="1"/>
    <xf numFmtId="0" fontId="2" fillId="9" borderId="0" xfId="0" applyFont="1" applyFill="1"/>
    <xf numFmtId="0" fontId="8" fillId="9" borderId="0" xfId="0" applyFont="1" applyFill="1"/>
    <xf numFmtId="0" fontId="6" fillId="9" borderId="0" xfId="0" applyFont="1" applyFill="1"/>
    <xf numFmtId="0" fontId="2" fillId="9" borderId="21" xfId="0" applyFont="1" applyFill="1" applyBorder="1"/>
    <xf numFmtId="0" fontId="2" fillId="9" borderId="20" xfId="0" applyFont="1" applyFill="1" applyBorder="1" applyAlignment="1">
      <alignment horizontal="left"/>
    </xf>
    <xf numFmtId="0" fontId="10" fillId="9" borderId="0" xfId="0" applyFont="1" applyFill="1" applyAlignment="1">
      <alignment horizontal="left"/>
    </xf>
    <xf numFmtId="0" fontId="2" fillId="9" borderId="22" xfId="0" applyFont="1" applyFill="1" applyBorder="1"/>
    <xf numFmtId="0" fontId="2" fillId="9" borderId="23" xfId="0" applyFont="1" applyFill="1" applyBorder="1"/>
    <xf numFmtId="0" fontId="2" fillId="9" borderId="13" xfId="0" applyFont="1" applyFill="1" applyBorder="1"/>
    <xf numFmtId="0" fontId="6" fillId="9" borderId="14" xfId="0" applyFont="1" applyFill="1" applyBorder="1" applyAlignment="1">
      <alignment horizontal="center"/>
    </xf>
    <xf numFmtId="49" fontId="8" fillId="9" borderId="13" xfId="0" applyNumberFormat="1" applyFont="1" applyFill="1" applyBorder="1"/>
    <xf numFmtId="0" fontId="6" fillId="9" borderId="13" xfId="0" applyFont="1" applyFill="1" applyBorder="1"/>
    <xf numFmtId="0" fontId="2" fillId="9" borderId="14" xfId="0" applyFont="1" applyFill="1" applyBorder="1"/>
    <xf numFmtId="0" fontId="6" fillId="9" borderId="24" xfId="0" applyFont="1" applyFill="1" applyBorder="1"/>
    <xf numFmtId="0" fontId="6" fillId="9" borderId="25" xfId="0" applyFont="1" applyFill="1" applyBorder="1" applyAlignment="1">
      <alignment horizontal="center"/>
    </xf>
    <xf numFmtId="0" fontId="2" fillId="9" borderId="22" xfId="0" applyFont="1" applyFill="1" applyBorder="1" applyAlignment="1">
      <alignment horizontal="left"/>
    </xf>
    <xf numFmtId="0" fontId="2" fillId="9" borderId="23" xfId="0" applyFont="1" applyFill="1" applyBorder="1" applyAlignment="1">
      <alignment horizontal="left"/>
    </xf>
    <xf numFmtId="0" fontId="6" fillId="9" borderId="13" xfId="0" applyFont="1" applyFill="1" applyBorder="1" applyAlignment="1">
      <alignment horizontal="left"/>
    </xf>
    <xf numFmtId="0" fontId="6" fillId="9" borderId="13" xfId="0" quotePrefix="1" applyFont="1" applyFill="1" applyBorder="1" applyAlignment="1">
      <alignment horizontal="left"/>
    </xf>
    <xf numFmtId="0" fontId="6" fillId="9" borderId="0" xfId="0" applyFont="1" applyFill="1" applyAlignment="1">
      <alignment horizontal="left"/>
    </xf>
    <xf numFmtId="0" fontId="2" fillId="9" borderId="0" xfId="0" applyFont="1" applyFill="1" applyAlignment="1">
      <alignment horizontal="left"/>
    </xf>
    <xf numFmtId="164" fontId="9" fillId="9" borderId="3" xfId="0" applyNumberFormat="1" applyFont="1" applyFill="1" applyBorder="1" applyProtection="1">
      <protection locked="0"/>
    </xf>
    <xf numFmtId="164" fontId="9" fillId="9" borderId="1" xfId="0" applyNumberFormat="1" applyFont="1" applyFill="1" applyBorder="1" applyAlignment="1" applyProtection="1">
      <alignment vertical="center"/>
      <protection locked="0"/>
    </xf>
    <xf numFmtId="0" fontId="10" fillId="9" borderId="13" xfId="0" applyFont="1" applyFill="1" applyBorder="1" applyAlignment="1">
      <alignment horizontal="left"/>
    </xf>
    <xf numFmtId="0" fontId="10" fillId="9" borderId="0" xfId="0" applyFont="1" applyFill="1" applyAlignment="1">
      <alignment horizontal="left"/>
    </xf>
    <xf numFmtId="0" fontId="10" fillId="9" borderId="14" xfId="0" applyFont="1" applyFill="1" applyBorder="1" applyAlignment="1">
      <alignment horizontal="left"/>
    </xf>
    <xf numFmtId="0" fontId="6" fillId="9" borderId="7" xfId="0" applyFont="1" applyFill="1" applyBorder="1" applyAlignment="1">
      <alignment horizontal="left" indent="1"/>
    </xf>
    <xf numFmtId="0" fontId="6" fillId="9" borderId="8" xfId="0" applyFont="1" applyFill="1" applyBorder="1" applyAlignment="1">
      <alignment horizontal="left" indent="1"/>
    </xf>
    <xf numFmtId="0" fontId="6" fillId="9" borderId="9" xfId="0" applyFont="1" applyFill="1" applyBorder="1" applyAlignment="1">
      <alignment horizontal="left" indent="1"/>
    </xf>
    <xf numFmtId="0" fontId="6" fillId="8" borderId="13" xfId="0" applyFont="1" applyFill="1" applyBorder="1" applyAlignment="1">
      <alignment horizontal="left" wrapText="1" indent="1"/>
    </xf>
    <xf numFmtId="0" fontId="6" fillId="8" borderId="0" xfId="0" applyFont="1" applyFill="1" applyAlignment="1">
      <alignment horizontal="left" wrapText="1" indent="1"/>
    </xf>
    <xf numFmtId="0" fontId="6" fillId="8" borderId="14" xfId="0" applyFont="1" applyFill="1" applyBorder="1" applyAlignment="1">
      <alignment horizontal="left" wrapText="1" indent="1"/>
    </xf>
    <xf numFmtId="0" fontId="7" fillId="9" borderId="13" xfId="0" applyFont="1" applyFill="1" applyBorder="1" applyAlignment="1">
      <alignment horizontal="center"/>
    </xf>
    <xf numFmtId="0" fontId="7" fillId="9" borderId="0" xfId="0" applyFont="1" applyFill="1" applyAlignment="1">
      <alignment horizontal="center"/>
    </xf>
    <xf numFmtId="0" fontId="7" fillId="9" borderId="14" xfId="0" applyFont="1" applyFill="1" applyBorder="1" applyAlignment="1">
      <alignment horizontal="center"/>
    </xf>
    <xf numFmtId="0" fontId="3" fillId="6" borderId="7" xfId="0" applyFont="1" applyFill="1" applyBorder="1" applyAlignment="1">
      <alignment horizontal="center"/>
    </xf>
    <xf numFmtId="0" fontId="3" fillId="6" borderId="8" xfId="0" applyFont="1" applyFill="1" applyBorder="1" applyAlignment="1">
      <alignment horizontal="center"/>
    </xf>
    <xf numFmtId="0" fontId="3" fillId="6" borderId="9" xfId="0" applyFont="1" applyFill="1" applyBorder="1" applyAlignment="1">
      <alignment horizontal="center"/>
    </xf>
    <xf numFmtId="0" fontId="11" fillId="7" borderId="10"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14"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3" fillId="6" borderId="4" xfId="0" applyFont="1" applyFill="1" applyBorder="1" applyAlignment="1">
      <alignment horizontal="center"/>
    </xf>
    <xf numFmtId="0" fontId="3" fillId="6" borderId="5" xfId="0" applyFont="1" applyFill="1" applyBorder="1" applyAlignment="1">
      <alignment horizontal="center"/>
    </xf>
    <xf numFmtId="0" fontId="3" fillId="6" borderId="6" xfId="0" applyFont="1" applyFill="1" applyBorder="1" applyAlignment="1">
      <alignment horizontal="center"/>
    </xf>
    <xf numFmtId="0" fontId="3" fillId="6" borderId="13" xfId="0" applyFont="1" applyFill="1" applyBorder="1" applyAlignment="1">
      <alignment horizontal="center"/>
    </xf>
    <xf numFmtId="0" fontId="3" fillId="6" borderId="0" xfId="0" applyFont="1" applyFill="1" applyAlignment="1">
      <alignment horizontal="center"/>
    </xf>
    <xf numFmtId="0" fontId="3" fillId="6" borderId="14" xfId="0" applyFont="1" applyFill="1" applyBorder="1" applyAlignment="1">
      <alignment horizont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 xfId="0" applyFont="1" applyBorder="1" applyAlignment="1">
      <alignment horizontal="center" vertical="center"/>
    </xf>
    <xf numFmtId="0" fontId="3" fillId="6" borderId="10" xfId="0" applyFont="1" applyFill="1" applyBorder="1" applyAlignment="1">
      <alignment horizontal="center"/>
    </xf>
    <xf numFmtId="0" fontId="3" fillId="6" borderId="11" xfId="0" applyFont="1" applyFill="1" applyBorder="1" applyAlignment="1">
      <alignment horizontal="center"/>
    </xf>
    <xf numFmtId="0" fontId="3" fillId="6" borderId="12" xfId="0" applyFont="1" applyFill="1" applyBorder="1" applyAlignment="1">
      <alignment horizontal="center"/>
    </xf>
    <xf numFmtId="0" fontId="8" fillId="9" borderId="0" xfId="0" applyFont="1" applyFill="1" applyAlignment="1">
      <alignment horizontal="left"/>
    </xf>
    <xf numFmtId="0" fontId="9" fillId="9" borderId="1" xfId="0" applyFont="1" applyFill="1" applyBorder="1" applyAlignment="1" applyProtection="1">
      <alignment horizontal="left"/>
      <protection locked="0"/>
    </xf>
  </cellXfs>
  <cellStyles count="2">
    <cellStyle name="Normal" xfId="0" builtinId="0"/>
    <cellStyle name="Per cent" xfId="1" builtinId="5"/>
  </cellStyles>
  <dxfs count="7">
    <dxf>
      <border>
        <left/>
        <right style="thin">
          <color auto="1"/>
        </right>
        <top/>
        <bottom/>
        <vertical/>
        <horizontal/>
      </border>
    </dxf>
    <dxf>
      <font>
        <color rgb="FFECECEC"/>
      </font>
    </dxf>
    <dxf>
      <font>
        <color rgb="FFECECEC"/>
      </font>
      <border>
        <left/>
        <right/>
        <top/>
        <bottom/>
      </border>
    </dxf>
    <dxf>
      <border>
        <left style="thin">
          <color auto="1"/>
        </left>
        <right/>
        <top/>
        <bottom/>
        <vertical/>
        <horizontal/>
      </border>
    </dxf>
    <dxf>
      <font>
        <b/>
        <i val="0"/>
        <color rgb="FFFF0000"/>
      </font>
    </dxf>
    <dxf>
      <font>
        <color theme="0"/>
      </font>
      <fill>
        <patternFill>
          <bgColor theme="0"/>
        </patternFill>
      </fill>
      <border>
        <left/>
        <right/>
        <top/>
        <bottom/>
        <vertical/>
        <horizontal/>
      </border>
    </dxf>
    <dxf>
      <font>
        <b/>
        <i val="0"/>
        <color rgb="FFFF0000"/>
      </font>
    </dxf>
  </dxfs>
  <tableStyles count="0" defaultTableStyle="TableStyleMedium2" defaultPivotStyle="PivotStyleLight16"/>
  <colors>
    <mruColors>
      <color rgb="FFECECEC"/>
      <color rgb="FFB2D5D2"/>
      <color rgb="FFE7DFBF"/>
      <color rgb="FF0F7B3F"/>
      <color rgb="FFC2D2DE"/>
      <color rgb="FFD68063"/>
      <color rgb="FFE0D0CF"/>
      <color rgb="FFE4ECE8"/>
      <color rgb="FFAFC5B9"/>
      <color rgb="FFFEF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76200</xdr:rowOff>
    </xdr:from>
    <xdr:to>
      <xdr:col>1</xdr:col>
      <xdr:colOff>1736521</xdr:colOff>
      <xdr:row>3</xdr:row>
      <xdr:rowOff>212652</xdr:rowOff>
    </xdr:to>
    <xdr:pic>
      <xdr:nvPicPr>
        <xdr:cNvPr id="4" name="Picture 3">
          <a:extLst>
            <a:ext uri="{FF2B5EF4-FFF2-40B4-BE49-F238E27FC236}">
              <a16:creationId xmlns:a16="http://schemas.microsoft.com/office/drawing/2014/main" id="{14F2FD93-6F52-9EF0-B8A6-B131D33B83EA}"/>
            </a:ext>
          </a:extLst>
        </xdr:cNvPr>
        <xdr:cNvPicPr>
          <a:picLocks noChangeAspect="1"/>
        </xdr:cNvPicPr>
      </xdr:nvPicPr>
      <xdr:blipFill>
        <a:blip xmlns:r="http://schemas.openxmlformats.org/officeDocument/2006/relationships" r:embed="rId1"/>
        <a:stretch>
          <a:fillRect/>
        </a:stretch>
      </xdr:blipFill>
      <xdr:spPr>
        <a:xfrm>
          <a:off x="723900" y="771525"/>
          <a:ext cx="1628571" cy="58095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9F505-C127-4258-8DA8-70A44FDB8EF4}">
  <sheetPr>
    <pageSetUpPr fitToPage="1"/>
  </sheetPr>
  <dimension ref="B1:U30"/>
  <sheetViews>
    <sheetView showGridLines="0" showRowColHeaders="0" tabSelected="1" workbookViewId="0">
      <selection activeCell="D8" sqref="D8"/>
    </sheetView>
  </sheetViews>
  <sheetFormatPr defaultColWidth="9.1796875" defaultRowHeight="18" x14ac:dyDescent="0.5"/>
  <cols>
    <col min="1" max="1" width="9.1796875" style="1"/>
    <col min="2" max="2" width="33.7265625" style="1" customWidth="1"/>
    <col min="3" max="3" width="2.453125" style="1" customWidth="1"/>
    <col min="4" max="4" width="32.26953125" style="1" customWidth="1"/>
    <col min="5" max="6" width="4.1796875" style="1" customWidth="1"/>
    <col min="7" max="7" width="4.54296875" style="1" customWidth="1"/>
    <col min="8" max="9" width="9.1796875" style="1"/>
    <col min="10" max="10" width="28.26953125" style="1" customWidth="1"/>
    <col min="11" max="11" width="2.54296875" style="1" customWidth="1"/>
    <col min="12" max="12" width="10.54296875" style="1" customWidth="1"/>
    <col min="13" max="16" width="9.1796875" style="1"/>
    <col min="17" max="17" width="24.54296875" style="1" customWidth="1"/>
    <col min="18" max="16384" width="9.1796875" style="1"/>
  </cols>
  <sheetData>
    <row r="1" spans="2:21" ht="10.5" customHeight="1" thickBot="1" x14ac:dyDescent="0.55000000000000004"/>
    <row r="2" spans="2:21" ht="18" customHeight="1" x14ac:dyDescent="0.5">
      <c r="B2" s="101"/>
      <c r="C2" s="92" t="s">
        <v>61</v>
      </c>
      <c r="D2" s="93"/>
      <c r="E2" s="93"/>
      <c r="F2" s="93"/>
      <c r="G2" s="93"/>
      <c r="H2" s="93"/>
      <c r="I2" s="93"/>
      <c r="J2" s="93"/>
      <c r="K2" s="93"/>
      <c r="L2" s="93"/>
      <c r="M2" s="93"/>
      <c r="N2" s="93"/>
      <c r="O2" s="93"/>
      <c r="P2" s="93"/>
      <c r="Q2" s="94"/>
    </row>
    <row r="3" spans="2:21" ht="18" customHeight="1" x14ac:dyDescent="0.5">
      <c r="B3" s="102"/>
      <c r="C3" s="95"/>
      <c r="D3" s="96"/>
      <c r="E3" s="96"/>
      <c r="F3" s="96"/>
      <c r="G3" s="96"/>
      <c r="H3" s="96"/>
      <c r="I3" s="96"/>
      <c r="J3" s="96"/>
      <c r="K3" s="96"/>
      <c r="L3" s="96"/>
      <c r="M3" s="96"/>
      <c r="N3" s="96"/>
      <c r="O3" s="96"/>
      <c r="P3" s="96"/>
      <c r="Q3" s="97"/>
    </row>
    <row r="4" spans="2:21" ht="18" customHeight="1" thickBot="1" x14ac:dyDescent="0.55000000000000004">
      <c r="B4" s="103"/>
      <c r="C4" s="98"/>
      <c r="D4" s="99"/>
      <c r="E4" s="99"/>
      <c r="F4" s="99"/>
      <c r="G4" s="99"/>
      <c r="H4" s="99"/>
      <c r="I4" s="99"/>
      <c r="J4" s="99"/>
      <c r="K4" s="99"/>
      <c r="L4" s="99"/>
      <c r="M4" s="99"/>
      <c r="N4" s="99"/>
      <c r="O4" s="99"/>
      <c r="P4" s="99"/>
      <c r="Q4" s="100"/>
    </row>
    <row r="5" spans="2:21" ht="9" customHeight="1" thickBot="1" x14ac:dyDescent="0.55000000000000004"/>
    <row r="6" spans="2:21" ht="18.75" customHeight="1" thickBot="1" x14ac:dyDescent="0.55000000000000004">
      <c r="B6" s="86" t="s">
        <v>8</v>
      </c>
      <c r="C6" s="87"/>
      <c r="D6" s="88"/>
      <c r="G6" s="104" t="s">
        <v>11</v>
      </c>
      <c r="H6" s="105"/>
      <c r="I6" s="105"/>
      <c r="J6" s="105"/>
      <c r="K6" s="105"/>
      <c r="L6" s="105"/>
      <c r="M6" s="105"/>
      <c r="N6" s="105"/>
      <c r="O6" s="105"/>
      <c r="P6" s="105"/>
      <c r="Q6" s="106"/>
    </row>
    <row r="7" spans="2:21" ht="18.5" thickBot="1" x14ac:dyDescent="0.55000000000000004">
      <c r="G7" s="45"/>
      <c r="H7" s="37"/>
      <c r="I7" s="38"/>
      <c r="J7" s="38"/>
      <c r="K7" s="38"/>
      <c r="L7" s="38"/>
      <c r="M7" s="38"/>
      <c r="N7" s="38"/>
      <c r="O7" s="38"/>
      <c r="P7" s="38"/>
      <c r="Q7" s="46"/>
    </row>
    <row r="8" spans="2:21" ht="18.5" thickBot="1" x14ac:dyDescent="0.55000000000000004">
      <c r="B8" s="35" t="s">
        <v>55</v>
      </c>
      <c r="D8" s="60"/>
      <c r="E8" s="24" t="str">
        <f>IF(B26&lt;&gt;" ","#","")</f>
        <v/>
      </c>
      <c r="G8" s="71" t="str">
        <f>IF(OR(Aday_TFC_lessthan_25pc_of_Aday_fund,Aday_TFC_zero),"      Maximum TFC payment shown is 25% of the current fund value.","Maximum scheme-specific tax-free cash formula = (1)  5/4/06 TFC revalued + (2) TFC on fund growth")</f>
        <v>Maximum scheme-specific tax-free cash formula = (1)  5/4/06 TFC revalued + (2) TFC on fund growth</v>
      </c>
      <c r="H8" s="72"/>
      <c r="I8" s="72"/>
      <c r="J8" s="72"/>
      <c r="K8" s="72"/>
      <c r="L8" s="72"/>
      <c r="M8" s="72"/>
      <c r="N8" s="72"/>
      <c r="O8" s="72"/>
      <c r="P8" s="72"/>
      <c r="Q8" s="73"/>
    </row>
    <row r="9" spans="2:21" ht="18.5" thickBot="1" x14ac:dyDescent="0.55000000000000004">
      <c r="G9" s="47"/>
      <c r="H9" s="39"/>
      <c r="I9" s="39"/>
      <c r="J9" s="39"/>
      <c r="K9" s="39"/>
      <c r="L9" s="39"/>
      <c r="M9" s="39"/>
      <c r="N9" s="39"/>
      <c r="O9" s="39"/>
      <c r="P9" s="39"/>
      <c r="Q9" s="48"/>
    </row>
    <row r="10" spans="2:21" ht="18.5" thickBot="1" x14ac:dyDescent="0.55000000000000004">
      <c r="B10" s="35" t="s">
        <v>14</v>
      </c>
      <c r="D10" s="60"/>
      <c r="G10" s="49" t="s">
        <v>12</v>
      </c>
      <c r="H10" s="40" t="s">
        <v>56</v>
      </c>
      <c r="I10" s="39"/>
      <c r="J10" s="39"/>
      <c r="K10" s="41"/>
      <c r="L10" s="65" t="str">
        <f>TEXT(ADAY_TFC_entitlement,"£#,##0.00")&amp;" x 1.2 = "&amp;TEXT(Revalued_Aday_TFC,"£#,##0.00")</f>
        <v>£0.00 x 1.2 = £0.00</v>
      </c>
      <c r="M10" s="66"/>
      <c r="N10" s="66"/>
      <c r="O10" s="66"/>
      <c r="P10" s="66"/>
      <c r="Q10" s="67"/>
    </row>
    <row r="11" spans="2:21" ht="18.5" thickBot="1" x14ac:dyDescent="0.55000000000000004">
      <c r="G11" s="50"/>
      <c r="H11" s="41"/>
      <c r="I11" s="41"/>
      <c r="J11" s="41"/>
      <c r="K11" s="39"/>
      <c r="L11" s="41"/>
      <c r="M11" s="41"/>
      <c r="N11" s="41"/>
      <c r="O11" s="39"/>
      <c r="P11" s="39"/>
      <c r="Q11" s="51"/>
    </row>
    <row r="12" spans="2:21" ht="18.5" thickBot="1" x14ac:dyDescent="0.55000000000000004">
      <c r="B12" s="35" t="s">
        <v>5</v>
      </c>
      <c r="D12" s="60"/>
      <c r="G12" s="49" t="s">
        <v>13</v>
      </c>
      <c r="H12" s="107" t="s">
        <v>57</v>
      </c>
      <c r="I12" s="107"/>
      <c r="J12" s="107"/>
      <c r="K12" s="40"/>
      <c r="L12" s="65" t="str">
        <f>"[ "&amp;TEXT(Fund_value_at_BCE,"£#,##0.00")&amp;"  - ("&amp;TEXT(ADAY_Fund_Value,"£#,##0.00")&amp;" x ("&amp;TEXT(Clients_LTA,"£#,##0.00")&amp;"/ £1,500,000)) ]/4 = "&amp;TEXT((Fund_value_at_BCE-(ADAY_Fund_Value*Clients_LTA/1500000))/4,"£#,##0.00")</f>
        <v>[ £0.00  - (£0.00 x (£1,073,100.00/ £1,500,000)) ]/4 = £0.00</v>
      </c>
      <c r="M12" s="66"/>
      <c r="N12" s="66"/>
      <c r="O12" s="66"/>
      <c r="P12" s="66"/>
      <c r="Q12" s="67"/>
      <c r="R12" s="4"/>
    </row>
    <row r="13" spans="2:21" ht="18.5" thickBot="1" x14ac:dyDescent="0.55000000000000004">
      <c r="G13" s="52"/>
      <c r="H13" s="42"/>
      <c r="I13" s="42"/>
      <c r="J13" s="42"/>
      <c r="K13" s="42"/>
      <c r="L13" s="42"/>
      <c r="M13" s="42"/>
      <c r="N13" s="42"/>
      <c r="O13" s="42"/>
      <c r="P13" s="42"/>
      <c r="Q13" s="53"/>
      <c r="R13" s="5"/>
    </row>
    <row r="14" spans="2:21" ht="18.5" thickBot="1" x14ac:dyDescent="0.55000000000000004">
      <c r="B14" s="35" t="s">
        <v>54</v>
      </c>
      <c r="D14" s="108" t="s">
        <v>7</v>
      </c>
      <c r="G14" s="89" t="s">
        <v>52</v>
      </c>
      <c r="H14" s="90"/>
      <c r="I14" s="90"/>
      <c r="J14" s="90"/>
      <c r="K14" s="90"/>
      <c r="L14" s="90"/>
      <c r="M14" s="90"/>
      <c r="N14" s="90"/>
      <c r="O14" s="90"/>
      <c r="P14" s="90"/>
      <c r="Q14" s="91"/>
      <c r="R14" s="7"/>
      <c r="S14" s="6"/>
      <c r="T14" s="6"/>
      <c r="U14" s="6"/>
    </row>
    <row r="15" spans="2:21" ht="18.5" thickBot="1" x14ac:dyDescent="0.55000000000000004">
      <c r="G15" s="54"/>
      <c r="H15" s="43"/>
      <c r="I15" s="43"/>
      <c r="J15" s="43"/>
      <c r="K15" s="43"/>
      <c r="L15" s="43"/>
      <c r="M15" s="43"/>
      <c r="N15" s="43"/>
      <c r="O15" s="43"/>
      <c r="P15" s="43"/>
      <c r="Q15" s="55"/>
      <c r="S15" s="6"/>
      <c r="T15" s="6"/>
      <c r="U15" s="6"/>
    </row>
    <row r="16" spans="2:21" ht="18.5" thickBot="1" x14ac:dyDescent="0.55000000000000004">
      <c r="B16" s="35" t="s">
        <v>63</v>
      </c>
      <c r="D16" s="61"/>
      <c r="E16" s="24" t="str">
        <f>IF(B29&lt;&gt;" ","##","")</f>
        <v/>
      </c>
      <c r="G16" s="56" t="str">
        <f>"A = TFC @ 5/4/06"</f>
        <v>A = TFC @ 5/4/06</v>
      </c>
      <c r="H16" s="58"/>
      <c r="I16" s="58"/>
      <c r="J16" s="58"/>
      <c r="K16" s="58"/>
      <c r="L16" s="63" t="str">
        <f>"B = Current fund value"</f>
        <v>B = Current fund value</v>
      </c>
      <c r="M16" s="63"/>
      <c r="N16" s="63"/>
      <c r="O16" s="63"/>
      <c r="P16" s="63"/>
      <c r="Q16" s="64"/>
      <c r="S16" s="6"/>
      <c r="T16" s="6"/>
      <c r="U16" s="6"/>
    </row>
    <row r="17" spans="2:21" ht="18.5" thickBot="1" x14ac:dyDescent="0.55000000000000004">
      <c r="G17" s="57" t="s">
        <v>58</v>
      </c>
      <c r="H17" s="58"/>
      <c r="I17" s="59"/>
      <c r="J17" s="58"/>
      <c r="K17" s="59"/>
      <c r="L17" s="63" t="s">
        <v>64</v>
      </c>
      <c r="M17" s="63"/>
      <c r="N17" s="63"/>
      <c r="O17" s="63"/>
      <c r="P17" s="63"/>
      <c r="Q17" s="64"/>
      <c r="S17" s="6"/>
      <c r="T17" s="6"/>
      <c r="U17" s="6"/>
    </row>
    <row r="18" spans="2:21" ht="18.5" thickBot="1" x14ac:dyDescent="0.55000000000000004">
      <c r="B18" s="86" t="s">
        <v>9</v>
      </c>
      <c r="C18" s="87"/>
      <c r="D18" s="88"/>
      <c r="F18" s="6"/>
      <c r="G18" s="56" t="str">
        <f>"TFC = Tax-free cash"</f>
        <v>TFC = Tax-free cash</v>
      </c>
      <c r="H18" s="58"/>
      <c r="I18" s="58"/>
      <c r="J18" s="58"/>
      <c r="K18" s="58"/>
      <c r="L18" s="63" t="str">
        <f>"ILSDBA = Individual lump sum and death benefit allowance"</f>
        <v>ILSDBA = Individual lump sum and death benefit allowance</v>
      </c>
      <c r="M18" s="63"/>
      <c r="N18" s="63"/>
      <c r="O18" s="63"/>
      <c r="P18" s="63"/>
      <c r="Q18" s="64"/>
      <c r="R18" s="4"/>
      <c r="S18" s="6"/>
      <c r="T18" s="6"/>
      <c r="U18" s="6"/>
    </row>
    <row r="19" spans="2:21" ht="18.5" thickBot="1" x14ac:dyDescent="0.55000000000000004">
      <c r="G19" s="62"/>
      <c r="H19" s="63"/>
      <c r="I19" s="63"/>
      <c r="J19" s="63"/>
      <c r="K19" s="44"/>
      <c r="L19" s="63"/>
      <c r="M19" s="63"/>
      <c r="N19" s="63"/>
      <c r="O19" s="63"/>
      <c r="P19" s="63"/>
      <c r="Q19" s="64"/>
      <c r="S19" s="6"/>
      <c r="T19" s="6"/>
      <c r="U19" s="6"/>
    </row>
    <row r="20" spans="2:21" ht="18.5" thickBot="1" x14ac:dyDescent="0.55000000000000004">
      <c r="B20" s="35" t="s">
        <v>62</v>
      </c>
      <c r="D20" s="13" t="str">
        <f>IF(OR(Calcd_max_TFC_at_BCE="",Aday_TFC_lessthan_25pc_of_Aday_fund),"",Revalued_Aday_TFC)</f>
        <v/>
      </c>
      <c r="F20" s="4"/>
      <c r="G20" s="74" t="s">
        <v>53</v>
      </c>
      <c r="H20" s="75"/>
      <c r="I20" s="75"/>
      <c r="J20" s="75"/>
      <c r="K20" s="75"/>
      <c r="L20" s="75"/>
      <c r="M20" s="75"/>
      <c r="N20" s="75"/>
      <c r="O20" s="75"/>
      <c r="P20" s="75"/>
      <c r="Q20" s="76"/>
      <c r="S20" s="6"/>
      <c r="T20" s="6"/>
      <c r="U20" s="6"/>
    </row>
    <row r="21" spans="2:21" ht="18.5" thickBot="1" x14ac:dyDescent="0.55000000000000004">
      <c r="G21" s="77" t="s">
        <v>65</v>
      </c>
      <c r="H21" s="78"/>
      <c r="I21" s="78"/>
      <c r="J21" s="78"/>
      <c r="K21" s="78"/>
      <c r="L21" s="78"/>
      <c r="M21" s="78"/>
      <c r="N21" s="78"/>
      <c r="O21" s="78"/>
      <c r="P21" s="78"/>
      <c r="Q21" s="79"/>
      <c r="R21" s="6"/>
      <c r="S21" s="6"/>
      <c r="T21" s="6"/>
      <c r="U21" s="6"/>
    </row>
    <row r="22" spans="2:21" ht="18.75" customHeight="1" thickBot="1" x14ac:dyDescent="0.55000000000000004">
      <c r="B22" s="35" t="s">
        <v>59</v>
      </c>
      <c r="D22" s="13" t="str">
        <f>IF(OR(Aday_TFC_lessthan_25pc_of_Aday_fund,Calcd_max_TFC_at_BCE=""),"",ALSA_from_fundgrowth)</f>
        <v/>
      </c>
      <c r="G22" s="80"/>
      <c r="H22" s="81"/>
      <c r="I22" s="81"/>
      <c r="J22" s="81"/>
      <c r="K22" s="81"/>
      <c r="L22" s="81"/>
      <c r="M22" s="81"/>
      <c r="N22" s="81"/>
      <c r="O22" s="81"/>
      <c r="P22" s="81"/>
      <c r="Q22" s="82"/>
      <c r="R22" s="8"/>
      <c r="S22" s="8"/>
      <c r="T22" s="8"/>
      <c r="U22" s="8"/>
    </row>
    <row r="23" spans="2:21" ht="18.5" thickBot="1" x14ac:dyDescent="0.55000000000000004">
      <c r="G23" s="80"/>
      <c r="H23" s="81"/>
      <c r="I23" s="81"/>
      <c r="J23" s="81"/>
      <c r="K23" s="81"/>
      <c r="L23" s="81"/>
      <c r="M23" s="81"/>
      <c r="N23" s="81"/>
      <c r="O23" s="81"/>
      <c r="P23" s="81"/>
      <c r="Q23" s="82"/>
    </row>
    <row r="24" spans="2:21" ht="18.5" thickBot="1" x14ac:dyDescent="0.55000000000000004">
      <c r="B24" s="36" t="s">
        <v>60</v>
      </c>
      <c r="D24" s="13" t="str">
        <f>IF(OR(Aday_TFC_exceeds_Aday_fund_value,NOT(Positive_input_values)),"",IF(Aday_TFC_zero,Fund_value_at_BCE/4,IF(Aday_TFC_lessthan_25pc_of_Aday_fund,Fund_value_at_BCE/4,IF(Aday_TFC_equals_Aday_fund_value,"See comments in red box",Total_TFC_for_Result_Cell))))</f>
        <v/>
      </c>
      <c r="E24" s="24" t="str">
        <f>IF(LEFT(B27,1)="#","#","")</f>
        <v/>
      </c>
      <c r="G24" s="83"/>
      <c r="H24" s="84"/>
      <c r="I24" s="84"/>
      <c r="J24" s="84"/>
      <c r="K24" s="84"/>
      <c r="L24" s="84"/>
      <c r="M24" s="84"/>
      <c r="N24" s="84"/>
      <c r="O24" s="84"/>
      <c r="P24" s="84"/>
      <c r="Q24" s="85"/>
    </row>
    <row r="25" spans="2:21" ht="11.25" customHeight="1" thickBot="1" x14ac:dyDescent="0.55000000000000004"/>
    <row r="26" spans="2:21" x14ac:dyDescent="0.5">
      <c r="B26" s="25" t="str">
        <f>IF(NOT(Positive_input_values)," ",IF(ADAY_Fund_Value&gt;0,IF(Aday_TFC_lessthan_25pc_of_Aday_fund,"# Input Error: TFC entitlement at 05/04/2006 must be more than 25% of the fund value at 05/04/2006 for a scheme-specific TFC entitlement to apply",IF(Aday_TFC_exceeds_Aday_fund_value,"# Input Error: TFC entitlement at 05/04/2006 cannot be more than fund value at 05/04/2006",IF(Aday_TFC_equals_Aday_fund_value,"# Potential stand-alone lump sum"," ")))))</f>
        <v xml:space="preserve"> </v>
      </c>
      <c r="C26" s="26"/>
      <c r="D26" s="26"/>
      <c r="E26" s="26"/>
      <c r="F26" s="26"/>
      <c r="G26" s="26"/>
      <c r="H26" s="26"/>
      <c r="I26" s="26"/>
      <c r="J26" s="26"/>
      <c r="K26" s="26"/>
      <c r="L26" s="26"/>
      <c r="M26" s="26"/>
      <c r="N26" s="26"/>
      <c r="O26" s="26"/>
      <c r="P26" s="26"/>
      <c r="Q26" s="27"/>
    </row>
    <row r="27" spans="2:21" x14ac:dyDescent="0.5">
      <c r="B27" s="28" t="str">
        <f>IF(valid_inputs,IF(Aday_TFC_equals_Aday_fund_value,IF(ROUND(calcd_Total_TFC,2)&gt;=Fund_value_at_BCE,"      - If the member has lost their entitlement to a stand-alone lump sum after 05/04/2006, a scheme-specific TFC payment will be made.  The result will be restricted to a maximum of "&amp;TEXT(Fund_value_at_BCE-0.01,"£#,##0.00")," "),IF(Calculated_TFC_exceeds_BCE_fund_value,TFC_exceeds_BCE_FV_text,IF(Calculated_TFC_equals_BCE_fund_value,TFC_equals_BCE_FV_text," "))),IF(OR(Aday_TFC_lessthan_25pc_of_Aday_fund,Aday_TFC_zero),"      Maximum TFC payment shown is 25% of the current fund value."," "))</f>
        <v xml:space="preserve"> </v>
      </c>
      <c r="C27" s="29"/>
      <c r="D27" s="29"/>
      <c r="E27" s="29"/>
      <c r="F27" s="29"/>
      <c r="G27" s="29"/>
      <c r="H27" s="29"/>
      <c r="I27" s="29"/>
      <c r="J27" s="29"/>
      <c r="K27" s="29"/>
      <c r="L27" s="29"/>
      <c r="M27" s="29"/>
      <c r="N27" s="29"/>
      <c r="O27" s="29"/>
      <c r="P27" s="29"/>
      <c r="Q27" s="30"/>
    </row>
    <row r="28" spans="2:21" x14ac:dyDescent="0.5">
      <c r="B28" s="68" t="str">
        <f>IF(valid_inputs,IF(Aday_TFC_equals_Aday_fund_value,IF(ROUND(calcd_Total_TFC,2)&lt;Fund_value_at_BCE,"      - If the member has lost their entitlement to a stand-alone lump sum after 05/04/2006, the result will be "&amp;TEXT(ROUND(calcd_Total_TFC,2),"£#,##0.00"),"      - If the current fund value increases, the TFC entitlement will also increase"),IF(OR(Calculated_TFC_exceeds_BCE_fund_value,Calculated_TFC_equals_BCE_fund_value),"      - If the current fund value increases, the TFC entitlement will also increase"," "))," ")</f>
        <v xml:space="preserve"> </v>
      </c>
      <c r="C28" s="69"/>
      <c r="D28" s="69"/>
      <c r="E28" s="69"/>
      <c r="F28" s="69"/>
      <c r="G28" s="69"/>
      <c r="H28" s="69"/>
      <c r="I28" s="69"/>
      <c r="J28" s="69"/>
      <c r="K28" s="69"/>
      <c r="L28" s="69"/>
      <c r="M28" s="69"/>
      <c r="N28" s="69"/>
      <c r="O28" s="69"/>
      <c r="P28" s="69"/>
      <c r="Q28" s="70"/>
    </row>
    <row r="29" spans="2:21" x14ac:dyDescent="0.5">
      <c r="B29" s="31" t="str">
        <f>IF(LEFT(LTA_protection,3)&lt;&gt;"Ind"," ",IF(AND(RIGHT(LTA_protection,4)="2014",OR(1500000&lt;Individual_PLA,Individual_PLA&lt;1250000)),"## The Individual Protected Allowance 2014 value must be between £1,250,000 and £1,500,000",IF(AND(RIGHT(LTA_protection,4)="2016",OR(1250000&lt;Individual_PLA,Individual_PLA&lt;1000000)),"## The Individual Protected Allowance 2016 value must be between £1,000,000 and £1,250,000"," ")))</f>
        <v xml:space="preserve"> </v>
      </c>
      <c r="C29" s="29"/>
      <c r="D29" s="29"/>
      <c r="E29" s="29"/>
      <c r="F29" s="29"/>
      <c r="G29" s="29"/>
      <c r="H29" s="29"/>
      <c r="I29" s="29"/>
      <c r="J29" s="29"/>
      <c r="K29" s="29"/>
      <c r="L29" s="29"/>
      <c r="M29" s="29"/>
      <c r="N29" s="29"/>
      <c r="O29" s="29"/>
      <c r="P29" s="29"/>
      <c r="Q29" s="30"/>
    </row>
    <row r="30" spans="2:21" ht="18.5" thickBot="1" x14ac:dyDescent="0.55000000000000004">
      <c r="B30" s="32"/>
      <c r="C30" s="33"/>
      <c r="D30" s="33"/>
      <c r="E30" s="33"/>
      <c r="F30" s="33"/>
      <c r="G30" s="33"/>
      <c r="H30" s="33"/>
      <c r="I30" s="33"/>
      <c r="J30" s="33"/>
      <c r="K30" s="33"/>
      <c r="L30" s="33"/>
      <c r="M30" s="33"/>
      <c r="N30" s="33"/>
      <c r="O30" s="33"/>
      <c r="P30" s="33"/>
      <c r="Q30" s="34"/>
    </row>
  </sheetData>
  <sheetProtection algorithmName="SHA-512" hashValue="vj2KhIhLE+KYCWVgE1Ldax88pCkDNj675a8ZeDpGgWdvKJtQ5yJFaNyRu/l/3Tmmth0T4OYvwf49NzrxLmQo8g==" saltValue="9fCEXltikm/l0fVbCL6wVQ==" spinCount="100000" sheet="1" objects="1" scenarios="1" selectLockedCells="1"/>
  <mergeCells count="18">
    <mergeCell ref="C2:Q4"/>
    <mergeCell ref="B2:B4"/>
    <mergeCell ref="G6:Q6"/>
    <mergeCell ref="B6:D6"/>
    <mergeCell ref="L12:Q12"/>
    <mergeCell ref="H12:J12"/>
    <mergeCell ref="G19:J19"/>
    <mergeCell ref="L19:Q19"/>
    <mergeCell ref="L10:Q10"/>
    <mergeCell ref="B28:Q28"/>
    <mergeCell ref="G8:Q8"/>
    <mergeCell ref="G20:Q20"/>
    <mergeCell ref="G21:Q24"/>
    <mergeCell ref="B18:D18"/>
    <mergeCell ref="G14:Q14"/>
    <mergeCell ref="L18:Q18"/>
    <mergeCell ref="L16:Q16"/>
    <mergeCell ref="L17:Q17"/>
  </mergeCells>
  <conditionalFormatting sqref="B26">
    <cfRule type="expression" dxfId="6" priority="8">
      <formula>LEFT($B$26,13)="# Input Error"</formula>
    </cfRule>
  </conditionalFormatting>
  <conditionalFormatting sqref="B16:D16">
    <cfRule type="expression" dxfId="5" priority="9">
      <formula>LEFT($D$14,3)&lt;&gt;"Ind"</formula>
    </cfRule>
  </conditionalFormatting>
  <conditionalFormatting sqref="D24">
    <cfRule type="expression" dxfId="4" priority="7">
      <formula>LEFT($D$24,3)="See"</formula>
    </cfRule>
  </conditionalFormatting>
  <pageMargins left="0.70866141732283472" right="0.70866141732283472" top="0.74803149606299213" bottom="0.74803149606299213" header="0.31496062992125984" footer="0.31496062992125984"/>
  <pageSetup paperSize="9" scale="73" orientation="landscape" horizontalDpi="1200" verticalDpi="1200" r:id="rId1"/>
  <headerFooter>
    <oddFooter>&amp;C&amp;1#&amp;"Arial"&amp;10&amp;K000000INTERNAL USE ONLY</oddFooter>
  </headerFooter>
  <ignoredErrors>
    <ignoredError sqref="G10 G12" numberStoredAsText="1"/>
  </ignoredErrors>
  <drawing r:id="rId2"/>
  <extLst>
    <ext xmlns:x14="http://schemas.microsoft.com/office/spreadsheetml/2009/9/main" uri="{78C0D931-6437-407d-A8EE-F0AAD7539E65}">
      <x14:conditionalFormattings>
        <x14:conditionalFormatting xmlns:xm="http://schemas.microsoft.com/office/excel/2006/main">
          <x14:cfRule type="expression" priority="5" id="{C3F65156-A3B1-43D2-AECC-5F7DC90BA2A9}">
            <xm:f>OR(Sheet2!$C$30,Sheet2!$C$31)</xm:f>
            <x14:dxf>
              <border>
                <left style="thin">
                  <color auto="1"/>
                </left>
                <right/>
                <top/>
                <bottom/>
                <vertical/>
                <horizontal/>
              </border>
            </x14:dxf>
          </x14:cfRule>
          <xm:sqref>G10:G12</xm:sqref>
        </x14:conditionalFormatting>
        <x14:conditionalFormatting xmlns:xm="http://schemas.microsoft.com/office/excel/2006/main">
          <x14:cfRule type="expression" priority="6" id="{2C3D41E1-49A5-41BF-8A76-68EF4E3A6C1E}">
            <xm:f>OR(Sheet2!$C$30,Sheet2!$C$31)</xm:f>
            <x14:dxf>
              <font>
                <color rgb="FFECECEC"/>
              </font>
              <border>
                <left/>
                <right/>
                <top/>
                <bottom/>
              </border>
            </x14:dxf>
          </x14:cfRule>
          <xm:sqref>G10:Q12</xm:sqref>
        </x14:conditionalFormatting>
        <x14:conditionalFormatting xmlns:xm="http://schemas.microsoft.com/office/excel/2006/main">
          <x14:cfRule type="expression" priority="1" id="{23FCFEFB-BFBD-4020-B1A1-E573F95AF891}">
            <xm:f>NOT(Sheet2!$C$34)</xm:f>
            <x14:dxf>
              <font>
                <color rgb="FFECECEC"/>
              </font>
            </x14:dxf>
          </x14:cfRule>
          <xm:sqref>L10:Q12</xm:sqref>
        </x14:conditionalFormatting>
        <x14:conditionalFormatting xmlns:xm="http://schemas.microsoft.com/office/excel/2006/main">
          <x14:cfRule type="expression" priority="4" id="{AD560EBA-89DD-49BC-BA40-BF659282BC2A}">
            <xm:f>OR(Sheet2!$C$30,Sheet2!$C$31)</xm:f>
            <x14:dxf>
              <border>
                <left/>
                <right style="thin">
                  <color auto="1"/>
                </right>
                <top/>
                <bottom/>
                <vertical/>
                <horizontal/>
              </border>
            </x14:dxf>
          </x14:cfRule>
          <xm:sqref>Q10:Q12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62E62B8-FA07-4B7D-B2F2-B686DC5F38D1}">
          <x14:formula1>
            <xm:f>Sheet2!$B$2:$B$10</xm:f>
          </x14:formula1>
          <xm:sqref>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001EF-28F9-4127-AD26-A8A827910E79}">
  <dimension ref="B1:K37"/>
  <sheetViews>
    <sheetView showGridLines="0" workbookViewId="0">
      <selection activeCell="B11" sqref="B11"/>
    </sheetView>
  </sheetViews>
  <sheetFormatPr defaultColWidth="9.1796875" defaultRowHeight="18" x14ac:dyDescent="0.5"/>
  <cols>
    <col min="1" max="1" width="9.1796875" style="1"/>
    <col min="2" max="2" width="52.1796875" style="1" customWidth="1"/>
    <col min="3" max="3" width="16" style="1" bestFit="1" customWidth="1"/>
    <col min="4" max="4" width="14.1796875" style="1" bestFit="1" customWidth="1"/>
    <col min="5" max="6" width="9.1796875" style="1"/>
    <col min="7" max="7" width="17" style="1" customWidth="1"/>
    <col min="8" max="16384" width="9.1796875" style="1"/>
  </cols>
  <sheetData>
    <row r="1" spans="2:4" x14ac:dyDescent="0.5">
      <c r="B1" s="14" t="s">
        <v>20</v>
      </c>
    </row>
    <row r="2" spans="2:4" x14ac:dyDescent="0.5">
      <c r="B2" s="2" t="s">
        <v>7</v>
      </c>
      <c r="C2" s="10">
        <f>SLA</f>
        <v>1073100</v>
      </c>
      <c r="D2" s="16" t="str">
        <f>IF(AND(D3="No",D4="no",D5="No",D6="No",D7="No",D8="no",D9="No",D10="no"),"Yes","No")</f>
        <v>Yes</v>
      </c>
    </row>
    <row r="3" spans="2:4" x14ac:dyDescent="0.5">
      <c r="B3" s="2" t="s">
        <v>0</v>
      </c>
      <c r="C3" s="9">
        <v>1800000</v>
      </c>
      <c r="D3" s="15" t="str">
        <f t="shared" ref="D3:D10" si="0">IF(LTA_protection=B3,"Yes","No")</f>
        <v>No</v>
      </c>
    </row>
    <row r="4" spans="2:4" x14ac:dyDescent="0.5">
      <c r="B4" s="2" t="s">
        <v>1</v>
      </c>
      <c r="C4" s="9">
        <v>1500000</v>
      </c>
      <c r="D4" s="15" t="str">
        <f t="shared" si="0"/>
        <v>No</v>
      </c>
    </row>
    <row r="5" spans="2:4" x14ac:dyDescent="0.5">
      <c r="B5" s="2" t="s">
        <v>2</v>
      </c>
      <c r="C5" s="9">
        <v>1250000</v>
      </c>
      <c r="D5" s="15" t="str">
        <f t="shared" si="0"/>
        <v>No</v>
      </c>
    </row>
    <row r="6" spans="2:4" x14ac:dyDescent="0.5">
      <c r="B6" s="2" t="s">
        <v>3</v>
      </c>
      <c r="C6" s="10">
        <f>IF(LTA_protection=B6,Individual_PLA,0)</f>
        <v>0</v>
      </c>
      <c r="D6" s="15" t="str">
        <f t="shared" si="0"/>
        <v>No</v>
      </c>
    </row>
    <row r="7" spans="2:4" x14ac:dyDescent="0.5">
      <c r="B7" s="2" t="s">
        <v>4</v>
      </c>
      <c r="C7" s="10">
        <f>IF(LTA_protection=B7,Individual_PLA,0)</f>
        <v>0</v>
      </c>
      <c r="D7" s="15" t="str">
        <f t="shared" si="0"/>
        <v>No</v>
      </c>
    </row>
    <row r="8" spans="2:4" x14ac:dyDescent="0.5">
      <c r="B8" s="2" t="s">
        <v>66</v>
      </c>
      <c r="C8" s="10">
        <f>SLA</f>
        <v>1073100</v>
      </c>
      <c r="D8" s="15" t="str">
        <f t="shared" si="0"/>
        <v>No</v>
      </c>
    </row>
    <row r="9" spans="2:4" x14ac:dyDescent="0.5">
      <c r="B9" s="2" t="s">
        <v>67</v>
      </c>
      <c r="C9" s="10">
        <f>SLA</f>
        <v>1073100</v>
      </c>
      <c r="D9" s="15" t="str">
        <f t="shared" si="0"/>
        <v>No</v>
      </c>
    </row>
    <row r="10" spans="2:4" x14ac:dyDescent="0.5">
      <c r="B10" s="2" t="s">
        <v>68</v>
      </c>
      <c r="C10" s="10">
        <f>SLA</f>
        <v>1073100</v>
      </c>
      <c r="D10" s="15" t="str">
        <f t="shared" si="0"/>
        <v>No</v>
      </c>
    </row>
    <row r="12" spans="2:4" x14ac:dyDescent="0.5">
      <c r="B12" s="1" t="s">
        <v>16</v>
      </c>
      <c r="C12" s="9">
        <v>1073100</v>
      </c>
      <c r="D12" s="10">
        <f>C12*TFCpc</f>
        <v>268275</v>
      </c>
    </row>
    <row r="13" spans="2:4" x14ac:dyDescent="0.5">
      <c r="B13" s="1" t="s">
        <v>15</v>
      </c>
      <c r="C13" s="9">
        <v>1500000</v>
      </c>
    </row>
    <row r="14" spans="2:4" x14ac:dyDescent="0.5">
      <c r="B14" s="11" t="s">
        <v>17</v>
      </c>
      <c r="C14" s="9">
        <v>375000</v>
      </c>
    </row>
    <row r="15" spans="2:4" x14ac:dyDescent="0.5">
      <c r="B15" s="11" t="s">
        <v>18</v>
      </c>
      <c r="C15" s="12">
        <v>0.25</v>
      </c>
    </row>
    <row r="16" spans="2:4" x14ac:dyDescent="0.5">
      <c r="B16" s="11" t="s">
        <v>19</v>
      </c>
      <c r="C16" s="12">
        <v>1.2</v>
      </c>
      <c r="D16" s="1" t="s">
        <v>46</v>
      </c>
    </row>
    <row r="18" spans="2:11" x14ac:dyDescent="0.5">
      <c r="B18" s="14" t="s">
        <v>21</v>
      </c>
    </row>
    <row r="19" spans="2:11" x14ac:dyDescent="0.5">
      <c r="B19" s="11" t="s">
        <v>22</v>
      </c>
      <c r="C19" s="10">
        <f>INDEX(C2:C10,MATCH("Yes",D2:D10,0))</f>
        <v>1073100</v>
      </c>
    </row>
    <row r="20" spans="2:11" x14ac:dyDescent="0.5">
      <c r="B20" s="11" t="s">
        <v>23</v>
      </c>
      <c r="C20" s="10">
        <f>IF(ADAY_TFC_entitlement&lt;=TFCpc*ADAY_Fund_Value,0,ADAY_TFC_entitlement*Enhancement_factor_for_Revalued_Aday_cash)</f>
        <v>0</v>
      </c>
    </row>
    <row r="21" spans="2:11" x14ac:dyDescent="0.5">
      <c r="B21" s="11" t="s">
        <v>28</v>
      </c>
      <c r="C21" s="10">
        <f>IF(ADAY_TFC_entitlement=0,0,ADAY_Fund_Value*(Clients_LTA/LTA_amount_on_Aday))</f>
        <v>0</v>
      </c>
    </row>
    <row r="22" spans="2:11" x14ac:dyDescent="0.5">
      <c r="B22" s="11" t="s">
        <v>24</v>
      </c>
      <c r="C22" s="10">
        <f>IF(ADAY_TFC_entitlement=0,0,MAX(0,(Fund_value_at_BCE-revalued_Aday_fundvalue)*TFCpc))</f>
        <v>0</v>
      </c>
    </row>
    <row r="23" spans="2:11" ht="18.5" thickBot="1" x14ac:dyDescent="0.55000000000000004">
      <c r="B23" s="19" t="s">
        <v>25</v>
      </c>
      <c r="C23" s="20">
        <f ca="1">IF(D23&gt;DATE(2023,4,5),0,IF(Fund_value_at_BCE&gt;LTA_available,(Fund_value_at_BCE-LTA_available)*TFCpc,0))</f>
        <v>0</v>
      </c>
      <c r="D23" s="21">
        <f ca="1">TODAY()</f>
        <v>46098</v>
      </c>
      <c r="E23" s="1" t="s">
        <v>47</v>
      </c>
    </row>
    <row r="24" spans="2:11" ht="18.5" thickBot="1" x14ac:dyDescent="0.55000000000000004">
      <c r="B24" s="19" t="s">
        <v>26</v>
      </c>
      <c r="C24" s="20">
        <f ca="1">IF(Excess_of_LTA_charge&gt;0,MAX(0,(Fund_value_at_BCE-Excess_of_LTA_charge-revalued_Aday_fundvalue)*TFCpc),0)</f>
        <v>0</v>
      </c>
      <c r="D24" s="22"/>
      <c r="E24" s="3" t="s">
        <v>6</v>
      </c>
      <c r="G24" s="13">
        <v>1500000</v>
      </c>
    </row>
    <row r="25" spans="2:11" x14ac:dyDescent="0.5">
      <c r="B25" s="11" t="s">
        <v>10</v>
      </c>
      <c r="C25" s="10">
        <f>IF(AND(ADAY_TFC_entitlement=0,Fund_value_at_BCE&gt;0),Fund_value_at_BCE*TFCpc,IF(ADAY_Fund_Value&lt;ADAY_TFC_entitlement,"Error",IF(AND(ADAY_TFC_entitlement&gt;0,ADAY_TFC_entitlement&lt;=TFCpc*ADAY_Fund_Value),TFCpc*revalued_Aday_fundvalue,Revalued_Aday_TFC+ALSA_from_fundgrowth)))</f>
        <v>0</v>
      </c>
    </row>
    <row r="26" spans="2:11" x14ac:dyDescent="0.5">
      <c r="B26" s="11" t="s">
        <v>27</v>
      </c>
      <c r="C26" s="10" t="str">
        <f>IF(OR(Clients_LTA=0,Individual_protection_amount_error&lt;&gt;""),"",IF(OR(ADAY_TFC_entitlement="",ADAY_Fund_Value="",Fund_value_at_BCE="",LTA_protection=""),"",IF(AND(calcd_Total_TFC&gt;=Fund_value_at_BCE,ADAY_TFC_entitlement&gt;0,ADAY_TFC_entitlement&lt;ADAY_Fund_Value,ADAY_TFC_entitlement&gt;TFCpc*ADAY_Fund_Value),Fund_value_at_BCE-0.01,IF(AND(calcd_Total_TFC&gt;=Fund_value_at_BCE,ADAY_TFC_entitlement&gt;0,LTA_protection=""),"",IF(calcd_Total_TFC="Error",calcd_Total_TFC,ROUND(calcd_Total_TFC,2))))))</f>
        <v/>
      </c>
    </row>
    <row r="27" spans="2:11" x14ac:dyDescent="0.5">
      <c r="B27" s="11"/>
    </row>
    <row r="28" spans="2:11" x14ac:dyDescent="0.5">
      <c r="B28" s="14" t="s">
        <v>29</v>
      </c>
    </row>
    <row r="29" spans="2:11" x14ac:dyDescent="0.5">
      <c r="B29" s="17" t="s">
        <v>30</v>
      </c>
      <c r="C29" s="11" t="b">
        <f>NOT(OR(ADAY_TFC_entitlement&lt;0,ADAY_Fund_Value&lt;=0,Fund_value_at_BCE&lt;=0))</f>
        <v>0</v>
      </c>
      <c r="D29" s="17" t="s">
        <v>31</v>
      </c>
    </row>
    <row r="30" spans="2:11" x14ac:dyDescent="0.5">
      <c r="B30" s="17" t="s">
        <v>32</v>
      </c>
      <c r="C30" s="11" t="b">
        <f>AND(ADAY_TFC_entitlement=0,Fund_value_at_BCE&gt;0)</f>
        <v>0</v>
      </c>
      <c r="D30" s="17" t="s">
        <v>33</v>
      </c>
    </row>
    <row r="31" spans="2:11" x14ac:dyDescent="0.5">
      <c r="B31" s="17" t="s">
        <v>34</v>
      </c>
      <c r="C31" s="11" t="b">
        <f>AND(ADAY_TFC_entitlement&lt;=0.25*ADAY_Fund_Value,ADAY_Fund_Value&gt;0)</f>
        <v>0</v>
      </c>
      <c r="D31" s="17" t="s">
        <v>33</v>
      </c>
      <c r="K31" s="18" t="s">
        <v>44</v>
      </c>
    </row>
    <row r="32" spans="2:11" x14ac:dyDescent="0.5">
      <c r="B32" s="17" t="s">
        <v>35</v>
      </c>
      <c r="C32" s="11" t="s">
        <v>43</v>
      </c>
      <c r="D32" s="17" t="s">
        <v>36</v>
      </c>
      <c r="K32" s="18"/>
    </row>
    <row r="33" spans="2:11" x14ac:dyDescent="0.5">
      <c r="B33" s="17" t="s">
        <v>37</v>
      </c>
      <c r="C33" s="11" t="b">
        <f>(ADAY_TFC_entitlement&gt;ADAY_Fund_Value)</f>
        <v>0</v>
      </c>
      <c r="D33" s="17" t="s">
        <v>36</v>
      </c>
      <c r="K33" s="18" t="s">
        <v>45</v>
      </c>
    </row>
    <row r="34" spans="2:11" x14ac:dyDescent="0.5">
      <c r="B34" s="17" t="s">
        <v>48</v>
      </c>
      <c r="C34" s="11" t="b">
        <f>AND(NOT(Aday_TFC_exceeds_Aday_fund_value),NOT(Aday_TFC_lessthan_25pc_of_Aday_fund),NOT(Aday_TFC_zero),Positive_input_values,AND(Clients_LTA&lt;&gt;0,Individual_protection_amount_error=""))</f>
        <v>0</v>
      </c>
      <c r="D34" s="17"/>
      <c r="K34" s="18"/>
    </row>
    <row r="35" spans="2:11" x14ac:dyDescent="0.5">
      <c r="B35" s="17" t="s">
        <v>38</v>
      </c>
      <c r="C35" s="11" t="b">
        <f>AND(ADAY_TFC_entitlement=ADAY_Fund_Value,ADAY_TFC_entitlement&gt;0)</f>
        <v>0</v>
      </c>
      <c r="D35" s="17" t="s">
        <v>39</v>
      </c>
      <c r="K35" s="18" t="s">
        <v>49</v>
      </c>
    </row>
    <row r="36" spans="2:11" x14ac:dyDescent="0.5">
      <c r="B36" s="17" t="s">
        <v>40</v>
      </c>
      <c r="C36" s="23" t="b">
        <f>IF(Aday_TFC_exceeds_Aday_fund_value,"FALSE",AND(ADAY_TFC_entitlement&gt;0,ADAY_TFC_entitlement&lt;ADAY_Fund_Value,ROUND((IF(Summary!D20="",0,Summary!D20)+IF(Summary!D22="",0,Summary!D22)),2)&gt;Fund_value_at_BCE))</f>
        <v>0</v>
      </c>
      <c r="D36" s="17" t="s">
        <v>41</v>
      </c>
      <c r="K36" s="18" t="s">
        <v>50</v>
      </c>
    </row>
    <row r="37" spans="2:11" x14ac:dyDescent="0.5">
      <c r="B37" s="17" t="s">
        <v>42</v>
      </c>
      <c r="C37" s="23" t="b">
        <f>IF(Aday_TFC_exceeds_Aday_fund_value,"FALSE",AND(ADAY_TFC_entitlement&gt;0,ADAY_TFC_entitlement&lt;ADAY_Fund_Value,ROUND((IF(Summary!D20="",0,Summary!D20)+IF(Summary!D22="",0,Summary!D22)),2)=Fund_value_at_BCE))</f>
        <v>0</v>
      </c>
      <c r="D37" s="17" t="s">
        <v>41</v>
      </c>
      <c r="K37" s="18" t="s">
        <v>51</v>
      </c>
    </row>
  </sheetData>
  <phoneticPr fontId="17" type="noConversion"/>
  <pageMargins left="0.7" right="0.7" top="0.75" bottom="0.75" header="0.3" footer="0.3"/>
  <pageSetup paperSize="9" orientation="portrait" horizontalDpi="1200" verticalDpi="1200" r:id="rId1"/>
  <headerFooter>
    <oddFooter>&amp;C&amp;1#&amp;"Arial"&amp;10&amp;K000000INTERNAL USE ONLY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32</vt:i4>
      </vt:variant>
    </vt:vector>
  </HeadingPairs>
  <TitlesOfParts>
    <vt:vector size="34" baseType="lpstr">
      <vt:lpstr>Summary</vt:lpstr>
      <vt:lpstr>Sheet2</vt:lpstr>
      <vt:lpstr>ADAY_Fund_Value</vt:lpstr>
      <vt:lpstr>Aday_LTA_amount_TFC</vt:lpstr>
      <vt:lpstr>ADAY_TFC_entitlement</vt:lpstr>
      <vt:lpstr>Aday_TFC_equals_Aday_fund_value</vt:lpstr>
      <vt:lpstr>Aday_TFC_exceeds_Aday_fund_value</vt:lpstr>
      <vt:lpstr>Aday_TFC_lessthan_25pc_of_Aday_fund</vt:lpstr>
      <vt:lpstr>Aday_TFC_zero</vt:lpstr>
      <vt:lpstr>ALSA_from_fundgrowth</vt:lpstr>
      <vt:lpstr>ALSA_when_LTA_charge_applies</vt:lpstr>
      <vt:lpstr>Calcd_max_TFC_at_BCE</vt:lpstr>
      <vt:lpstr>calcd_Total_TFC</vt:lpstr>
      <vt:lpstr>Calculated_TFC_equals_BCE_fund_value</vt:lpstr>
      <vt:lpstr>Calculated_TFC_exceeds_BCE_fund_value</vt:lpstr>
      <vt:lpstr>Clients_LTA</vt:lpstr>
      <vt:lpstr>Enhancement_factor_for_Revalued_Aday_cash</vt:lpstr>
      <vt:lpstr>Excess_of_LTA_charge</vt:lpstr>
      <vt:lpstr>Fund_value_at_BCE</vt:lpstr>
      <vt:lpstr>Individual_PLA</vt:lpstr>
      <vt:lpstr>Individual_protection_amount_error</vt:lpstr>
      <vt:lpstr>LTA_amount_on_Aday</vt:lpstr>
      <vt:lpstr>LTA_available</vt:lpstr>
      <vt:lpstr>LTA_protection</vt:lpstr>
      <vt:lpstr>Positive_input_values</vt:lpstr>
      <vt:lpstr>Summary!Print_Area</vt:lpstr>
      <vt:lpstr>revalued_Aday_fundvalue</vt:lpstr>
      <vt:lpstr>Revalued_Aday_TFC</vt:lpstr>
      <vt:lpstr>SLA</vt:lpstr>
      <vt:lpstr>TFC_equals_BCE_FV_text</vt:lpstr>
      <vt:lpstr>TFC_exceeds_BCE_FV_text</vt:lpstr>
      <vt:lpstr>TFCpc</vt:lpstr>
      <vt:lpstr>Total_TFC_for_Result_Cell</vt:lpstr>
      <vt:lpstr>valid_inputs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Boyle, Suzie</dc:creator>
  <cp:lastModifiedBy>Button, Phil</cp:lastModifiedBy>
  <cp:lastPrinted>2023-07-26T14:16:38Z</cp:lastPrinted>
  <dcterms:created xsi:type="dcterms:W3CDTF">2023-02-14T14:29:39Z</dcterms:created>
  <dcterms:modified xsi:type="dcterms:W3CDTF">2026-03-17T14:07:07Z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1a6dd01-c5bd-4c13-9817-521dd7058760_Enabled">
    <vt:lpwstr>true</vt:lpwstr>
  </property>
  <property fmtid="{D5CDD505-2E9C-101B-9397-08002B2CF9AE}" pid="3" name="MSIP_Label_a1a6dd01-c5bd-4c13-9817-521dd7058760_SetDate">
    <vt:lpwstr>2023-06-06T14:53:25Z</vt:lpwstr>
  </property>
  <property fmtid="{D5CDD505-2E9C-101B-9397-08002B2CF9AE}" pid="4" name="MSIP_Label_a1a6dd01-c5bd-4c13-9817-521dd7058760_Method">
    <vt:lpwstr>Privileged</vt:lpwstr>
  </property>
  <property fmtid="{D5CDD505-2E9C-101B-9397-08002B2CF9AE}" pid="5" name="MSIP_Label_a1a6dd01-c5bd-4c13-9817-521dd7058760_Name">
    <vt:lpwstr>a1a6dd01-c5bd-4c13-9817-521dd7058760</vt:lpwstr>
  </property>
  <property fmtid="{D5CDD505-2E9C-101B-9397-08002B2CF9AE}" pid="6" name="MSIP_Label_a1a6dd01-c5bd-4c13-9817-521dd7058760_SiteId">
    <vt:lpwstr>0c5bd621-4db2-45d4-92c6-94708f93fa6e</vt:lpwstr>
  </property>
  <property fmtid="{D5CDD505-2E9C-101B-9397-08002B2CF9AE}" pid="7" name="MSIP_Label_a1a6dd01-c5bd-4c13-9817-521dd7058760_ActionId">
    <vt:lpwstr>7be2be47-838f-4183-9993-772e8ff96a58</vt:lpwstr>
  </property>
  <property fmtid="{D5CDD505-2E9C-101B-9397-08002B2CF9AE}" pid="8" name="MSIP_Label_a1a6dd01-c5bd-4c13-9817-521dd7058760_ContentBits">
    <vt:lpwstr>2</vt:lpwstr>
  </property>
</Properties>
</file>