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N:\Technica\UK Life &amp; Investments\Bond vs collective calc\"/>
    </mc:Choice>
  </mc:AlternateContent>
  <xr:revisionPtr revIDLastSave="0" documentId="13_ncr:1_{D11F686D-761B-47E2-AE2B-6CC4287878DD}" xr6:coauthVersionLast="47" xr6:coauthVersionMax="47" xr10:uidLastSave="{00000000-0000-0000-0000-000000000000}"/>
  <workbookProtection workbookAlgorithmName="SHA-512" workbookHashValue="FRcth/27oavlm6IZ78Br8MboOjZW+3NfISzkUOJmAFgEfRGgiUETYIJ5DRRK7YTwgWol0ynaNUQxtGjVWynsTw==" workbookSaltValue="KraW8ZxTNldVxG1u5tEQ0w==" workbookSpinCount="100000" lockStructure="1"/>
  <bookViews>
    <workbookView showSheetTabs="0" xWindow="-120" yWindow="-120" windowWidth="29040" windowHeight="15720" xr2:uid="{00000000-000D-0000-FFFF-FFFF00000000}"/>
  </bookViews>
  <sheets>
    <sheet name="Input" sheetId="1" r:id="rId1"/>
    <sheet name="Breakdown" sheetId="5" r:id="rId2"/>
    <sheet name="Allowances" sheetId="3" r:id="rId3"/>
    <sheet name="Control sheet" sheetId="4" state="hidden" r:id="rId4"/>
  </sheets>
  <definedNames>
    <definedName name="AEA_used">Input!$H$16</definedName>
    <definedName name="Allowance_used">Allowances!$I$2:$I$12</definedName>
    <definedName name="Cap_return">Input!$D$10</definedName>
    <definedName name="CGT_used">Input!$H$13</definedName>
    <definedName name="CGT_Y_N">Allowances!$E$10:$E$11</definedName>
    <definedName name="Collective_clsg">Breakdown!$T$30</definedName>
    <definedName name="Collective_final_yr_AEA">Breakdown!$F$30</definedName>
    <definedName name="Collective_final_yr_gain_realised">Breakdown!$H$30</definedName>
    <definedName name="Collective_finalyr_gain">Breakdown!$L$30</definedName>
    <definedName name="Collective_total_tax">Breakdown!$S$30</definedName>
    <definedName name="Collective_total_withs">Breakdown!$G$30</definedName>
    <definedName name="Current_CGT">Allowances!$M$8</definedName>
    <definedName name="Current_Div">Allowances!$L$8</definedName>
    <definedName name="Current_IT">Allowances!$K$8</definedName>
    <definedName name="Current_tax">Input!$H$15</definedName>
    <definedName name="Current_tax_yr">Input!$H$18</definedName>
    <definedName name="Div_return">Input!$D$12</definedName>
    <definedName name="Div_used">Input!$H$11</definedName>
    <definedName name="Expected_CGT">Allowances!$M$9</definedName>
    <definedName name="Expected_div">Allowances!$L$9</definedName>
    <definedName name="Expected_IT">Allowances!$K$9</definedName>
    <definedName name="Expected_tax">Input!$D$14</definedName>
    <definedName name="Future_exp_IT">Allowances!$K$11</definedName>
    <definedName name="Future_IT">Allowances!$K$10</definedName>
    <definedName name="Future_life_co_rate">Allowances!$R$3</definedName>
    <definedName name="initial_investment">Input!$D$7</definedName>
    <definedName name="Int_return">Input!$D$11</definedName>
    <definedName name="IT_2027">Allowances!$K$15</definedName>
    <definedName name="ITAR_27">Allowances!$K$17</definedName>
    <definedName name="ITHR_2027">Allowances!$K$16</definedName>
    <definedName name="Lifeco_div">Allowances!$S$2</definedName>
    <definedName name="Lifeco_rate">Allowances!$R$2</definedName>
    <definedName name="off_rate">Allowances!$U$2</definedName>
    <definedName name="offbond_clsg">Breakdown!$N$55</definedName>
    <definedName name="Offbond_total_tax">Breakdown!$K$55</definedName>
    <definedName name="offbond_with_tax">Breakdown!$M$55</definedName>
    <definedName name="offbond_withs">Breakdown!$L$55</definedName>
    <definedName name="offshore_gain">Allowances!$F$4</definedName>
    <definedName name="Onbond_AR">Allowances!$S$8</definedName>
    <definedName name="onbond_clsg">Breakdown!$N$80</definedName>
    <definedName name="Onbond_HR">Allowances!$S$7</definedName>
    <definedName name="Onbond_Non_BR">Allowances!$S$6</definedName>
    <definedName name="Onbond_total_tax">Breakdown!$K$80</definedName>
    <definedName name="onbond_total_withs">Breakdown!$L$80</definedName>
    <definedName name="Onbond_with_tax">Breakdown!$M$80</definedName>
    <definedName name="onshore_gain">Allowances!$G$4</definedName>
    <definedName name="_xlnm.Print_Area" localSheetId="1">Breakdown!$A$1:$AF$86</definedName>
    <definedName name="_xlnm.Print_Area" localSheetId="0">Input!$A$1:$L$49</definedName>
    <definedName name="PSA_final_yr">Breakdown!$N$30</definedName>
    <definedName name="PSA_used">Input!$H$12</definedName>
    <definedName name="Starting_rate">Allowances!$F$2</definedName>
    <definedName name="tapered_PA">Allowances!$E$7</definedName>
    <definedName name="TAX_lookup">Allowances!$J$1:$M$5</definedName>
    <definedName name="Term">Input!$D$15</definedName>
    <definedName name="Tobe_lookup">Allowances!$J$13:$K$17</definedName>
    <definedName name="Total_annual_return">Input!$D$8</definedName>
    <definedName name="Total_excess">Allowances!$H$36</definedName>
    <definedName name="Type_TP">Allowances!$J$2:$J$5</definedName>
    <definedName name="With_perc">Allowances!$P$2:$P$22</definedName>
    <definedName name="Withdrawal_amnt">Input!$D$13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0" i="5" l="1"/>
  <c r="J21" i="5"/>
  <c r="J22" i="5"/>
  <c r="J23" i="5"/>
  <c r="J24" i="5"/>
  <c r="J25" i="5"/>
  <c r="J26" i="5"/>
  <c r="J27" i="5"/>
  <c r="J28" i="5"/>
  <c r="J29" i="5"/>
  <c r="F17" i="3" l="1"/>
  <c r="F18" i="3"/>
  <c r="F19" i="3"/>
  <c r="F20" i="3"/>
  <c r="F21" i="3"/>
  <c r="F22" i="3"/>
  <c r="F23" i="3"/>
  <c r="F24" i="3"/>
  <c r="F25" i="3"/>
  <c r="F26" i="3"/>
  <c r="F27" i="3"/>
  <c r="F28" i="3"/>
  <c r="F29" i="3"/>
  <c r="F30" i="3"/>
  <c r="F31" i="3"/>
  <c r="F32" i="3"/>
  <c r="F33" i="3"/>
  <c r="F34" i="3"/>
  <c r="F35" i="3"/>
  <c r="F16" i="3"/>
  <c r="D12" i="1"/>
  <c r="K11" i="3"/>
  <c r="K10" i="3"/>
  <c r="M9" i="3"/>
  <c r="L9" i="3"/>
  <c r="K9" i="3"/>
  <c r="M8" i="3"/>
  <c r="L8" i="3"/>
  <c r="K8" i="3"/>
  <c r="B10" i="5"/>
  <c r="C11" i="5"/>
  <c r="C12" i="5"/>
  <c r="C13" i="5"/>
  <c r="C14" i="5"/>
  <c r="C15" i="5"/>
  <c r="C16" i="5"/>
  <c r="C17" i="5"/>
  <c r="C18" i="5"/>
  <c r="C19" i="5"/>
  <c r="C20" i="5"/>
  <c r="Q20" i="5" s="1"/>
  <c r="C21" i="5"/>
  <c r="L21" i="5" s="1"/>
  <c r="C22" i="5"/>
  <c r="K22" i="5" s="1"/>
  <c r="C23" i="5"/>
  <c r="Q23" i="5" s="1"/>
  <c r="C24" i="5"/>
  <c r="Q24" i="5" s="1"/>
  <c r="C25" i="5"/>
  <c r="Q25" i="5" s="1"/>
  <c r="C26" i="5"/>
  <c r="Q26" i="5" s="1"/>
  <c r="C27" i="5"/>
  <c r="Q27" i="5" s="1"/>
  <c r="C28" i="5"/>
  <c r="Q28" i="5" s="1"/>
  <c r="C29" i="5"/>
  <c r="H29" i="5" s="1"/>
  <c r="C10" i="5"/>
  <c r="D60" i="5"/>
  <c r="D35" i="5"/>
  <c r="C79" i="5"/>
  <c r="D79" i="5" s="1"/>
  <c r="C78" i="5"/>
  <c r="D78" i="5" s="1"/>
  <c r="C77" i="5"/>
  <c r="D77" i="5" s="1"/>
  <c r="C76" i="5"/>
  <c r="L76" i="5" s="1"/>
  <c r="C75" i="5"/>
  <c r="D75" i="5" s="1"/>
  <c r="C74" i="5"/>
  <c r="D74" i="5" s="1"/>
  <c r="C73" i="5"/>
  <c r="D73" i="5" s="1"/>
  <c r="C72" i="5"/>
  <c r="D72" i="5" s="1"/>
  <c r="C71" i="5"/>
  <c r="L71" i="5" s="1"/>
  <c r="C70" i="5"/>
  <c r="M70" i="5" s="1"/>
  <c r="C69" i="5"/>
  <c r="M69" i="5" s="1"/>
  <c r="C68" i="5"/>
  <c r="C67" i="5"/>
  <c r="C66" i="5"/>
  <c r="C65" i="5"/>
  <c r="C64" i="5"/>
  <c r="C63" i="5"/>
  <c r="C62" i="5"/>
  <c r="C61" i="5"/>
  <c r="C60" i="5"/>
  <c r="C54" i="5"/>
  <c r="D54" i="5" s="1"/>
  <c r="C53" i="5"/>
  <c r="D53" i="5" s="1"/>
  <c r="C52" i="5"/>
  <c r="D52" i="5" s="1"/>
  <c r="C51" i="5"/>
  <c r="D51" i="5" s="1"/>
  <c r="C50" i="5"/>
  <c r="L50" i="5" s="1"/>
  <c r="C49" i="5"/>
  <c r="L49" i="5" s="1"/>
  <c r="C48" i="5"/>
  <c r="M48" i="5" s="1"/>
  <c r="C47" i="5"/>
  <c r="L47" i="5" s="1"/>
  <c r="C46" i="5"/>
  <c r="L46" i="5" s="1"/>
  <c r="C45" i="5"/>
  <c r="L45" i="5" s="1"/>
  <c r="C44" i="5"/>
  <c r="M44" i="5" s="1"/>
  <c r="C43" i="5"/>
  <c r="C42" i="5"/>
  <c r="C41" i="5"/>
  <c r="C40" i="5"/>
  <c r="C39" i="5"/>
  <c r="C38" i="5"/>
  <c r="C37" i="5"/>
  <c r="C36" i="5"/>
  <c r="C35" i="5"/>
  <c r="D10" i="5"/>
  <c r="E10" i="5" s="1"/>
  <c r="K19" i="5" l="1"/>
  <c r="L79" i="5"/>
  <c r="G35" i="3" s="1"/>
  <c r="G23" i="5"/>
  <c r="L54" i="5"/>
  <c r="L48" i="5"/>
  <c r="M28" i="5"/>
  <c r="M50" i="5"/>
  <c r="M49" i="5"/>
  <c r="L72" i="5"/>
  <c r="G28" i="3" s="1"/>
  <c r="H28" i="3" s="1"/>
  <c r="L25" i="5"/>
  <c r="L70" i="5"/>
  <c r="G26" i="3" s="1"/>
  <c r="H26" i="3" s="1"/>
  <c r="L51" i="5"/>
  <c r="M79" i="5"/>
  <c r="S28" i="5"/>
  <c r="M76" i="5"/>
  <c r="P28" i="5"/>
  <c r="O28" i="5"/>
  <c r="I28" i="5"/>
  <c r="M75" i="5"/>
  <c r="L52" i="5"/>
  <c r="S25" i="5"/>
  <c r="I27" i="5"/>
  <c r="R26" i="5"/>
  <c r="I25" i="5"/>
  <c r="G29" i="5"/>
  <c r="M46" i="5"/>
  <c r="M78" i="5"/>
  <c r="S27" i="5"/>
  <c r="M47" i="5"/>
  <c r="R25" i="5"/>
  <c r="H28" i="5"/>
  <c r="G28" i="5"/>
  <c r="M45" i="5"/>
  <c r="M77" i="5"/>
  <c r="G27" i="5"/>
  <c r="O27" i="5"/>
  <c r="H25" i="5"/>
  <c r="G25" i="5"/>
  <c r="L78" i="5"/>
  <c r="G34" i="3" s="1"/>
  <c r="I34" i="3" s="1"/>
  <c r="M74" i="5"/>
  <c r="S26" i="5"/>
  <c r="H27" i="5"/>
  <c r="H26" i="5"/>
  <c r="G26" i="5"/>
  <c r="O25" i="5"/>
  <c r="L77" i="5"/>
  <c r="G33" i="3" s="1"/>
  <c r="H33" i="3" s="1"/>
  <c r="M54" i="5"/>
  <c r="M72" i="5"/>
  <c r="M27" i="5"/>
  <c r="G22" i="5"/>
  <c r="M53" i="5"/>
  <c r="L75" i="5"/>
  <c r="G31" i="3" s="1"/>
  <c r="I31" i="3" s="1"/>
  <c r="M71" i="5"/>
  <c r="K27" i="5"/>
  <c r="M73" i="5"/>
  <c r="M26" i="5"/>
  <c r="G21" i="5"/>
  <c r="M52" i="5"/>
  <c r="L74" i="5"/>
  <c r="G30" i="3" s="1"/>
  <c r="L53" i="5"/>
  <c r="G24" i="5"/>
  <c r="S29" i="5"/>
  <c r="M25" i="5"/>
  <c r="G20" i="5"/>
  <c r="M51" i="5"/>
  <c r="L73" i="5"/>
  <c r="G29" i="3" s="1"/>
  <c r="M10" i="5"/>
  <c r="P29" i="5"/>
  <c r="K28" i="5"/>
  <c r="D71" i="5"/>
  <c r="P21" i="5"/>
  <c r="K20" i="5"/>
  <c r="D76" i="5"/>
  <c r="P22" i="5"/>
  <c r="K21" i="5"/>
  <c r="D70" i="5"/>
  <c r="P20" i="5"/>
  <c r="O29" i="5"/>
  <c r="I29" i="5"/>
  <c r="M23" i="5"/>
  <c r="L23" i="5"/>
  <c r="M24" i="5"/>
  <c r="R21" i="5"/>
  <c r="L20" i="5"/>
  <c r="H23" i="5"/>
  <c r="S24" i="5"/>
  <c r="R20" i="5"/>
  <c r="O26" i="5"/>
  <c r="M22" i="5"/>
  <c r="K29" i="5"/>
  <c r="I26" i="5"/>
  <c r="H22" i="5"/>
  <c r="R24" i="5"/>
  <c r="M21" i="5"/>
  <c r="H21" i="5"/>
  <c r="G32" i="3"/>
  <c r="I32" i="3" s="1"/>
  <c r="R23" i="5"/>
  <c r="H20" i="5"/>
  <c r="P10" i="5"/>
  <c r="S21" i="5"/>
  <c r="P27" i="5"/>
  <c r="O23" i="5"/>
  <c r="K26" i="5"/>
  <c r="I23" i="5"/>
  <c r="D50" i="5"/>
  <c r="S20" i="5"/>
  <c r="P26" i="5"/>
  <c r="O22" i="5"/>
  <c r="L29" i="5"/>
  <c r="K25" i="5"/>
  <c r="I22" i="5"/>
  <c r="H24" i="5"/>
  <c r="S23" i="5"/>
  <c r="O24" i="5"/>
  <c r="D49" i="5"/>
  <c r="R29" i="5"/>
  <c r="P25" i="5"/>
  <c r="O21" i="5"/>
  <c r="L28" i="5"/>
  <c r="K24" i="5"/>
  <c r="I21" i="5"/>
  <c r="L24" i="5"/>
  <c r="S22" i="5"/>
  <c r="D45" i="5"/>
  <c r="R28" i="5"/>
  <c r="P24" i="5"/>
  <c r="O20" i="5"/>
  <c r="L27" i="5"/>
  <c r="K23" i="5"/>
  <c r="I20" i="5"/>
  <c r="G27" i="3"/>
  <c r="H27" i="3" s="1"/>
  <c r="L22" i="5"/>
  <c r="R22" i="5"/>
  <c r="M20" i="5"/>
  <c r="I24" i="5"/>
  <c r="R27" i="5"/>
  <c r="P23" i="5"/>
  <c r="M29" i="5"/>
  <c r="L26" i="5"/>
  <c r="D46" i="5"/>
  <c r="D47" i="5"/>
  <c r="D48" i="5"/>
  <c r="E35" i="5"/>
  <c r="F35" i="5" s="1"/>
  <c r="Q22" i="5"/>
  <c r="Q29" i="5"/>
  <c r="Q21" i="5"/>
  <c r="G35" i="5"/>
  <c r="H35" i="5" s="1"/>
  <c r="E60" i="5"/>
  <c r="G60" i="5"/>
  <c r="G10" i="5" l="1"/>
  <c r="T10" i="5" s="1"/>
  <c r="I33" i="3"/>
  <c r="I26" i="3"/>
  <c r="H32" i="3"/>
  <c r="H34" i="3"/>
  <c r="H31" i="3"/>
  <c r="I27" i="3"/>
  <c r="I28" i="3"/>
  <c r="I35" i="3"/>
  <c r="H35" i="3"/>
  <c r="I29" i="3"/>
  <c r="H29" i="3"/>
  <c r="I30" i="3"/>
  <c r="H30" i="3"/>
  <c r="F18" i="1"/>
  <c r="H10" i="5" l="1"/>
  <c r="J10" i="5" s="1"/>
  <c r="H18" i="1"/>
  <c r="D9" i="3"/>
  <c r="D10" i="3" s="1"/>
  <c r="D11" i="3" s="1"/>
  <c r="D12" i="3" s="1"/>
  <c r="D13" i="3" s="1"/>
  <c r="D14" i="3" s="1"/>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D37" i="3" s="1"/>
  <c r="D38" i="3" s="1"/>
  <c r="D39" i="3" s="1"/>
  <c r="D40" i="3" s="1"/>
  <c r="D41" i="3" s="1"/>
  <c r="D42" i="3" s="1"/>
  <c r="D43" i="3" s="1"/>
  <c r="D44" i="3" s="1"/>
  <c r="D45" i="3" s="1"/>
  <c r="D46" i="3" s="1"/>
  <c r="D47" i="3" s="1"/>
  <c r="D48" i="3" s="1"/>
  <c r="D49" i="3" s="1"/>
  <c r="D50" i="3" s="1"/>
  <c r="D51" i="3" s="1"/>
  <c r="D52" i="3" s="1"/>
  <c r="D53" i="3" s="1"/>
  <c r="D54" i="3" s="1"/>
  <c r="D55" i="3" s="1"/>
  <c r="D56" i="3" s="1"/>
  <c r="D57" i="3" s="1"/>
  <c r="D58" i="3" s="1"/>
  <c r="D59" i="3" s="1"/>
  <c r="D60" i="3" s="1"/>
  <c r="D61" i="3" s="1"/>
  <c r="D62" i="3" s="1"/>
  <c r="D63" i="3" s="1"/>
  <c r="D64" i="3" s="1"/>
  <c r="D65" i="3" s="1"/>
  <c r="D66" i="3" s="1"/>
  <c r="D67" i="3" s="1"/>
  <c r="D68" i="3" s="1"/>
  <c r="D69" i="3" s="1"/>
  <c r="D70" i="3" s="1"/>
  <c r="D71" i="3" s="1"/>
  <c r="D72" i="3" s="1"/>
  <c r="D73" i="3" s="1"/>
  <c r="D74" i="3" s="1"/>
  <c r="D75" i="3" s="1"/>
  <c r="D76" i="3" s="1"/>
  <c r="D77" i="3" s="1"/>
  <c r="D78" i="3" s="1"/>
  <c r="D79" i="3" s="1"/>
  <c r="D80" i="3" s="1"/>
  <c r="D81" i="3" s="1"/>
  <c r="D82" i="3" s="1"/>
  <c r="D83" i="3" s="1"/>
  <c r="D84" i="3" s="1"/>
  <c r="D85" i="3" s="1"/>
  <c r="D86" i="3" s="1"/>
  <c r="D87" i="3" s="1"/>
  <c r="D88" i="3" s="1"/>
  <c r="D89" i="3" s="1"/>
  <c r="D90" i="3" s="1"/>
  <c r="D91" i="3" s="1"/>
  <c r="D92" i="3" s="1"/>
  <c r="D93" i="3" s="1"/>
  <c r="D94" i="3" s="1"/>
  <c r="D95" i="3" s="1"/>
  <c r="D96" i="3" s="1"/>
  <c r="D97" i="3" s="1"/>
  <c r="D98" i="3" s="1"/>
  <c r="D99" i="3" s="1"/>
  <c r="D100" i="3" s="1"/>
  <c r="C9" i="3"/>
  <c r="C10" i="3" s="1"/>
  <c r="C11" i="3" s="1"/>
  <c r="C12" i="3" s="1"/>
  <c r="C13" i="3" s="1"/>
  <c r="C14" i="3" s="1"/>
  <c r="C15" i="3" s="1"/>
  <c r="C16" i="3" s="1"/>
  <c r="C17" i="3" s="1"/>
  <c r="C18" i="3" s="1"/>
  <c r="C19" i="3" s="1"/>
  <c r="C20" i="3" s="1"/>
  <c r="C21" i="3" s="1"/>
  <c r="C22" i="3" s="1"/>
  <c r="C23" i="3" s="1"/>
  <c r="C24" i="3" s="1"/>
  <c r="C25" i="3" s="1"/>
  <c r="C26" i="3" s="1"/>
  <c r="C27" i="3" s="1"/>
  <c r="C28" i="3" s="1"/>
  <c r="C29" i="3" s="1"/>
  <c r="C30" i="3" s="1"/>
  <c r="C31" i="3" s="1"/>
  <c r="C32" i="3" s="1"/>
  <c r="C33" i="3" s="1"/>
  <c r="C34" i="3" s="1"/>
  <c r="C35" i="3" s="1"/>
  <c r="C36" i="3" s="1"/>
  <c r="C37" i="3" s="1"/>
  <c r="C38" i="3" s="1"/>
  <c r="C39" i="3" s="1"/>
  <c r="C40" i="3" s="1"/>
  <c r="C41" i="3" s="1"/>
  <c r="C42" i="3" s="1"/>
  <c r="C43" i="3" s="1"/>
  <c r="C44" i="3" s="1"/>
  <c r="C45" i="3" s="1"/>
  <c r="C46" i="3" s="1"/>
  <c r="C47" i="3" s="1"/>
  <c r="C48" i="3" s="1"/>
  <c r="C49" i="3" s="1"/>
  <c r="C50" i="3" s="1"/>
  <c r="C51" i="3" s="1"/>
  <c r="C52" i="3" s="1"/>
  <c r="C53" i="3" s="1"/>
  <c r="C54" i="3" s="1"/>
  <c r="C55" i="3" s="1"/>
  <c r="C56" i="3" s="1"/>
  <c r="C57" i="3" s="1"/>
  <c r="C58" i="3" s="1"/>
  <c r="C59" i="3" s="1"/>
  <c r="C60" i="3" s="1"/>
  <c r="C61" i="3" s="1"/>
  <c r="C62" i="3" s="1"/>
  <c r="C63" i="3" s="1"/>
  <c r="C64" i="3" s="1"/>
  <c r="C65" i="3" s="1"/>
  <c r="C66" i="3" s="1"/>
  <c r="C67" i="3" s="1"/>
  <c r="C68" i="3" s="1"/>
  <c r="C69" i="3" s="1"/>
  <c r="C70" i="3" s="1"/>
  <c r="C71" i="3" s="1"/>
  <c r="C72" i="3" s="1"/>
  <c r="C73" i="3" s="1"/>
  <c r="C74" i="3" s="1"/>
  <c r="C75" i="3" s="1"/>
  <c r="C76" i="3" s="1"/>
  <c r="C77" i="3" s="1"/>
  <c r="C78" i="3" s="1"/>
  <c r="C79" i="3" s="1"/>
  <c r="C80" i="3" s="1"/>
  <c r="C81" i="3" s="1"/>
  <c r="C82" i="3" s="1"/>
  <c r="C83" i="3" s="1"/>
  <c r="C84" i="3" s="1"/>
  <c r="C85" i="3" s="1"/>
  <c r="C86" i="3" s="1"/>
  <c r="C87" i="3" s="1"/>
  <c r="C88" i="3" s="1"/>
  <c r="C89" i="3" s="1"/>
  <c r="C90" i="3" s="1"/>
  <c r="C91" i="3" s="1"/>
  <c r="C92" i="3" s="1"/>
  <c r="C93" i="3" s="1"/>
  <c r="C94" i="3" s="1"/>
  <c r="C95" i="3" s="1"/>
  <c r="C96" i="3" s="1"/>
  <c r="C97" i="3" s="1"/>
  <c r="C98" i="3" s="1"/>
  <c r="C99" i="3" s="1"/>
  <c r="C100" i="3" s="1"/>
  <c r="B9" i="3"/>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A10" i="5" l="1"/>
  <c r="A12" i="5"/>
  <c r="Q12" i="5" s="1"/>
  <c r="A13" i="5"/>
  <c r="Q13" i="5" s="1"/>
  <c r="A21" i="5"/>
  <c r="A29" i="5"/>
  <c r="A23" i="5"/>
  <c r="A11" i="5"/>
  <c r="Q11" i="5" s="1"/>
  <c r="A14" i="5"/>
  <c r="Q14" i="5" s="1"/>
  <c r="A22" i="5"/>
  <c r="A15" i="5"/>
  <c r="Q15" i="5" s="1"/>
  <c r="A19" i="5"/>
  <c r="Q19" i="5" s="1"/>
  <c r="A28" i="5"/>
  <c r="A16" i="5"/>
  <c r="Q16" i="5" s="1"/>
  <c r="A24" i="5"/>
  <c r="A26" i="5"/>
  <c r="A27" i="5"/>
  <c r="A17" i="5"/>
  <c r="Q17" i="5" s="1"/>
  <c r="A25" i="5"/>
  <c r="A18" i="5"/>
  <c r="Q18" i="5" s="1"/>
  <c r="A20" i="5"/>
  <c r="H9" i="1"/>
  <c r="H7" i="1"/>
  <c r="H8" i="1"/>
  <c r="H27" i="1" l="1" a="1"/>
  <c r="H27" i="1" s="1"/>
  <c r="F60" i="5"/>
  <c r="Q10" i="5"/>
  <c r="R10" i="5" s="1"/>
  <c r="H60" i="5"/>
  <c r="N14" i="5"/>
  <c r="N16" i="5"/>
  <c r="N11" i="5"/>
  <c r="N18" i="5"/>
  <c r="N19" i="5"/>
  <c r="N13" i="5"/>
  <c r="N15" i="5"/>
  <c r="N12" i="5"/>
  <c r="N17" i="5"/>
  <c r="N10" i="5"/>
  <c r="O10" i="5" s="1"/>
  <c r="N25" i="5"/>
  <c r="F25" i="5"/>
  <c r="F27" i="5"/>
  <c r="N27" i="5"/>
  <c r="F29" i="5"/>
  <c r="N29" i="5"/>
  <c r="F28" i="5"/>
  <c r="N28" i="5"/>
  <c r="N26" i="5"/>
  <c r="F26" i="5"/>
  <c r="N24" i="5"/>
  <c r="F24" i="5"/>
  <c r="F23" i="5"/>
  <c r="N23" i="5"/>
  <c r="F20" i="5"/>
  <c r="N20" i="5"/>
  <c r="N21" i="5"/>
  <c r="F21" i="5"/>
  <c r="F22" i="5"/>
  <c r="N22" i="5"/>
  <c r="F11" i="5"/>
  <c r="F10" i="5"/>
  <c r="F14" i="5"/>
  <c r="F16" i="5"/>
  <c r="F18" i="5"/>
  <c r="F19" i="5"/>
  <c r="F13" i="5"/>
  <c r="F15" i="5"/>
  <c r="F12" i="5"/>
  <c r="F17" i="5"/>
  <c r="K10" i="5" l="1"/>
  <c r="I10" i="5"/>
  <c r="S10" i="5" s="1"/>
  <c r="F30" i="5" a="1"/>
  <c r="F30" i="5" s="1"/>
  <c r="N30" i="5" a="1"/>
  <c r="N30" i="5" s="1"/>
  <c r="I35" i="5"/>
  <c r="I60" i="5"/>
  <c r="J60" i="5" s="1"/>
  <c r="L60" i="5" l="1"/>
  <c r="G16" i="3" s="1"/>
  <c r="J35" i="5"/>
  <c r="L35" i="5" s="1"/>
  <c r="B11" i="5"/>
  <c r="L10" i="5"/>
  <c r="K60" i="5"/>
  <c r="K35" i="5" l="1"/>
  <c r="N35" i="5" s="1"/>
  <c r="D36" i="5" s="1"/>
  <c r="N60" i="5"/>
  <c r="D61" i="5" s="1"/>
  <c r="I16" i="3"/>
  <c r="H16" i="3"/>
  <c r="M35" i="5" s="1"/>
  <c r="E36" i="5" l="1"/>
  <c r="F36" i="5" s="1"/>
  <c r="M60" i="5"/>
  <c r="G36" i="5"/>
  <c r="H36" i="5" s="1"/>
  <c r="I36" i="5"/>
  <c r="J36" i="5" s="1"/>
  <c r="E61" i="5"/>
  <c r="F61" i="5" s="1"/>
  <c r="I61" i="5"/>
  <c r="J61" i="5" s="1"/>
  <c r="G61" i="5"/>
  <c r="H61" i="5" s="1"/>
  <c r="D11" i="5"/>
  <c r="L36" i="5" l="1"/>
  <c r="L61" i="5"/>
  <c r="K36" i="5"/>
  <c r="P11" i="5"/>
  <c r="R11" i="5" s="1"/>
  <c r="M11" i="5"/>
  <c r="K61" i="5"/>
  <c r="E11" i="5"/>
  <c r="G11" i="5" l="1"/>
  <c r="T11" i="5" s="1"/>
  <c r="N36" i="5"/>
  <c r="D37" i="5" s="1"/>
  <c r="E37" i="5" s="1"/>
  <c r="F37" i="5" s="1"/>
  <c r="G17" i="3"/>
  <c r="O11" i="5"/>
  <c r="N61" i="5"/>
  <c r="D62" i="5" s="1"/>
  <c r="G37" i="5" l="1"/>
  <c r="H37" i="5" s="1"/>
  <c r="H11" i="5"/>
  <c r="I37" i="5"/>
  <c r="J37" i="5" s="1"/>
  <c r="H17" i="3"/>
  <c r="I17" i="3"/>
  <c r="E62" i="5"/>
  <c r="F62" i="5" s="1"/>
  <c r="G62" i="5"/>
  <c r="H62" i="5" s="1"/>
  <c r="I62" i="5"/>
  <c r="J62" i="5" s="1"/>
  <c r="J11" i="5" l="1"/>
  <c r="K11" i="5" s="1"/>
  <c r="M36" i="5"/>
  <c r="M61" i="5"/>
  <c r="L62" i="5"/>
  <c r="K37" i="5"/>
  <c r="L37" i="5"/>
  <c r="I11" i="5"/>
  <c r="S11" i="5" s="1"/>
  <c r="K62" i="5"/>
  <c r="B12" i="5" l="1"/>
  <c r="L11" i="5"/>
  <c r="N37" i="5"/>
  <c r="D38" i="5" s="1"/>
  <c r="E38" i="5" s="1"/>
  <c r="F38" i="5" s="1"/>
  <c r="G18" i="3"/>
  <c r="N62" i="5"/>
  <c r="D63" i="5" s="1"/>
  <c r="D12" i="5"/>
  <c r="G38" i="5" l="1"/>
  <c r="H38" i="5" s="1"/>
  <c r="I38" i="5"/>
  <c r="J38" i="5" s="1"/>
  <c r="G63" i="5"/>
  <c r="H63" i="5" s="1"/>
  <c r="I63" i="5"/>
  <c r="J63" i="5" s="1"/>
  <c r="E63" i="5"/>
  <c r="F63" i="5" s="1"/>
  <c r="I18" i="3"/>
  <c r="H18" i="3"/>
  <c r="P12" i="5"/>
  <c r="R12" i="5" s="1"/>
  <c r="M12" i="5"/>
  <c r="O12" i="5" s="1"/>
  <c r="E12" i="5"/>
  <c r="K38" i="5" l="1"/>
  <c r="L38" i="5"/>
  <c r="M37" i="5"/>
  <c r="M62" i="5"/>
  <c r="L63" i="5"/>
  <c r="G12" i="5"/>
  <c r="T12" i="5" s="1"/>
  <c r="K63" i="5"/>
  <c r="N38" i="5" l="1"/>
  <c r="D39" i="5" s="1"/>
  <c r="I39" i="5" s="1"/>
  <c r="J39" i="5" s="1"/>
  <c r="N63" i="5"/>
  <c r="D64" i="5" s="1"/>
  <c r="G19" i="3"/>
  <c r="H19" i="3" s="1"/>
  <c r="H12" i="5"/>
  <c r="I12" i="5" l="1"/>
  <c r="S12" i="5" s="1"/>
  <c r="J12" i="5"/>
  <c r="E39" i="5"/>
  <c r="F39" i="5" s="1"/>
  <c r="G39" i="5"/>
  <c r="H39" i="5" s="1"/>
  <c r="M38" i="5"/>
  <c r="M63" i="5"/>
  <c r="E64" i="5"/>
  <c r="F64" i="5" s="1"/>
  <c r="I64" i="5"/>
  <c r="J64" i="5" s="1"/>
  <c r="G64" i="5"/>
  <c r="H64" i="5" s="1"/>
  <c r="K12" i="5"/>
  <c r="B13" i="5" s="1"/>
  <c r="I19" i="3"/>
  <c r="D13" i="5"/>
  <c r="K39" i="5" l="1"/>
  <c r="L39" i="5"/>
  <c r="L64" i="5"/>
  <c r="G20" i="3" s="1"/>
  <c r="H20" i="3" s="1"/>
  <c r="K64" i="5"/>
  <c r="L12" i="5"/>
  <c r="P13" i="5"/>
  <c r="R13" i="5" s="1"/>
  <c r="M13" i="5"/>
  <c r="O13" i="5" s="1"/>
  <c r="E13" i="5"/>
  <c r="N39" i="5" l="1"/>
  <c r="D40" i="5" s="1"/>
  <c r="I40" i="5" s="1"/>
  <c r="J40" i="5" s="1"/>
  <c r="G13" i="5"/>
  <c r="T13" i="5" s="1"/>
  <c r="M39" i="5"/>
  <c r="M64" i="5"/>
  <c r="I20" i="3"/>
  <c r="N64" i="5"/>
  <c r="D65" i="5" s="1"/>
  <c r="G40" i="5" l="1"/>
  <c r="H40" i="5" s="1"/>
  <c r="E40" i="5"/>
  <c r="F40" i="5" s="1"/>
  <c r="E65" i="5"/>
  <c r="F65" i="5" s="1"/>
  <c r="I65" i="5"/>
  <c r="J65" i="5" s="1"/>
  <c r="G65" i="5"/>
  <c r="H65" i="5" s="1"/>
  <c r="H13" i="5"/>
  <c r="J13" i="5" s="1"/>
  <c r="K40" i="5" l="1"/>
  <c r="L40" i="5"/>
  <c r="K65" i="5"/>
  <c r="L65" i="5"/>
  <c r="G21" i="3" s="1"/>
  <c r="I21" i="3" s="1"/>
  <c r="K13" i="5"/>
  <c r="B14" i="5" s="1"/>
  <c r="I13" i="5"/>
  <c r="S13" i="5" s="1"/>
  <c r="D14" i="5"/>
  <c r="G45" i="5"/>
  <c r="H45" i="5" s="1"/>
  <c r="I45" i="5"/>
  <c r="J45" i="5" s="1"/>
  <c r="E45" i="5"/>
  <c r="F45" i="5" s="1"/>
  <c r="N40" i="5" l="1"/>
  <c r="D41" i="5" s="1"/>
  <c r="G41" i="5" s="1"/>
  <c r="H41" i="5" s="1"/>
  <c r="H21" i="3"/>
  <c r="N65" i="5"/>
  <c r="D66" i="5" s="1"/>
  <c r="L13" i="5"/>
  <c r="P14" i="5"/>
  <c r="R14" i="5" s="1"/>
  <c r="M14" i="5"/>
  <c r="O14" i="5" s="1"/>
  <c r="K45" i="5"/>
  <c r="N45" i="5" s="1"/>
  <c r="E70" i="5"/>
  <c r="G70" i="5"/>
  <c r="H70" i="5" s="1"/>
  <c r="I70" i="5"/>
  <c r="J70" i="5" s="1"/>
  <c r="E14" i="5"/>
  <c r="G14" i="5" s="1"/>
  <c r="I41" i="5" l="1"/>
  <c r="J41" i="5" s="1"/>
  <c r="E41" i="5"/>
  <c r="F41" i="5" s="1"/>
  <c r="M40" i="5"/>
  <c r="M65" i="5"/>
  <c r="I66" i="5"/>
  <c r="J66" i="5" s="1"/>
  <c r="G66" i="5"/>
  <c r="H66" i="5" s="1"/>
  <c r="E66" i="5"/>
  <c r="F66" i="5" s="1"/>
  <c r="T14" i="5"/>
  <c r="F70" i="5"/>
  <c r="I46" i="5"/>
  <c r="J46" i="5" s="1"/>
  <c r="E46" i="5"/>
  <c r="F46" i="5" s="1"/>
  <c r="G46" i="5"/>
  <c r="H46" i="5" s="1"/>
  <c r="K70" i="5"/>
  <c r="N70" i="5" s="1"/>
  <c r="K41" i="5" l="1"/>
  <c r="L41" i="5"/>
  <c r="L66" i="5"/>
  <c r="G22" i="3" s="1"/>
  <c r="I22" i="3" s="1"/>
  <c r="K66" i="5"/>
  <c r="H14" i="5"/>
  <c r="J14" i="5" s="1"/>
  <c r="K46" i="5"/>
  <c r="N46" i="5" s="1"/>
  <c r="N41" i="5" l="1"/>
  <c r="D42" i="5" s="1"/>
  <c r="I42" i="5" s="1"/>
  <c r="J42" i="5" s="1"/>
  <c r="H22" i="3"/>
  <c r="N66" i="5"/>
  <c r="D67" i="5" s="1"/>
  <c r="K14" i="5"/>
  <c r="B15" i="5" s="1"/>
  <c r="I14" i="5"/>
  <c r="S14" i="5" s="1"/>
  <c r="D15" i="5"/>
  <c r="I47" i="5"/>
  <c r="J47" i="5" s="1"/>
  <c r="G47" i="5"/>
  <c r="H47" i="5" s="1"/>
  <c r="E47" i="5"/>
  <c r="F47" i="5" s="1"/>
  <c r="E71" i="5"/>
  <c r="I71" i="5"/>
  <c r="J71" i="5" s="1"/>
  <c r="G71" i="5"/>
  <c r="H71" i="5" s="1"/>
  <c r="E42" i="5" l="1"/>
  <c r="F42" i="5" s="1"/>
  <c r="G42" i="5"/>
  <c r="H42" i="5" s="1"/>
  <c r="M41" i="5"/>
  <c r="M66" i="5"/>
  <c r="G67" i="5"/>
  <c r="H67" i="5" s="1"/>
  <c r="I67" i="5"/>
  <c r="J67" i="5" s="1"/>
  <c r="E67" i="5"/>
  <c r="F67" i="5" s="1"/>
  <c r="L14" i="5"/>
  <c r="P15" i="5"/>
  <c r="R15" i="5" s="1"/>
  <c r="M15" i="5"/>
  <c r="O15" i="5" s="1"/>
  <c r="F71" i="5"/>
  <c r="K71" i="5"/>
  <c r="N71" i="5" s="1"/>
  <c r="K47" i="5"/>
  <c r="N47" i="5" s="1"/>
  <c r="E15" i="5"/>
  <c r="K42" i="5" l="1"/>
  <c r="L42" i="5"/>
  <c r="N42" i="5" s="1"/>
  <c r="D43" i="5" s="1"/>
  <c r="I43" i="5" s="1"/>
  <c r="J43" i="5" s="1"/>
  <c r="G15" i="5"/>
  <c r="H15" i="5" s="1"/>
  <c r="J15" i="5" s="1"/>
  <c r="K67" i="5"/>
  <c r="L67" i="5"/>
  <c r="G23" i="3" s="1"/>
  <c r="G43" i="5" l="1"/>
  <c r="H43" i="5" s="1"/>
  <c r="E43" i="5"/>
  <c r="F43" i="5" s="1"/>
  <c r="T15" i="5"/>
  <c r="N67" i="5"/>
  <c r="D68" i="5" s="1"/>
  <c r="I68" i="5" s="1"/>
  <c r="J68" i="5" s="1"/>
  <c r="I23" i="3"/>
  <c r="H23" i="3"/>
  <c r="K15" i="5"/>
  <c r="L15" i="5" s="1"/>
  <c r="I15" i="5"/>
  <c r="S15" i="5" s="1"/>
  <c r="I48" i="5"/>
  <c r="J48" i="5" s="1"/>
  <c r="E48" i="5"/>
  <c r="F48" i="5" s="1"/>
  <c r="G48" i="5"/>
  <c r="H48" i="5" s="1"/>
  <c r="I72" i="5"/>
  <c r="J72" i="5" s="1"/>
  <c r="E72" i="5"/>
  <c r="G72" i="5"/>
  <c r="H72" i="5" s="1"/>
  <c r="L43" i="5" l="1"/>
  <c r="K43" i="5"/>
  <c r="N43" i="5" s="1"/>
  <c r="D44" i="5" s="1"/>
  <c r="E44" i="5" s="1"/>
  <c r="F44" i="5" s="1"/>
  <c r="G68" i="5"/>
  <c r="H68" i="5" s="1"/>
  <c r="E68" i="5"/>
  <c r="F68" i="5" s="1"/>
  <c r="M42" i="5"/>
  <c r="M67" i="5"/>
  <c r="B16" i="5"/>
  <c r="F72" i="5"/>
  <c r="K48" i="5"/>
  <c r="N48" i="5" s="1"/>
  <c r="K72" i="5"/>
  <c r="N72" i="5" s="1"/>
  <c r="D16" i="5"/>
  <c r="I44" i="5" l="1"/>
  <c r="J44" i="5" s="1"/>
  <c r="G44" i="5"/>
  <c r="H44" i="5" s="1"/>
  <c r="K44" i="5" s="1"/>
  <c r="K68" i="5"/>
  <c r="L68" i="5"/>
  <c r="G24" i="3" s="1"/>
  <c r="P16" i="5"/>
  <c r="R16" i="5" s="1"/>
  <c r="M16" i="5"/>
  <c r="E49" i="5"/>
  <c r="F49" i="5" s="1"/>
  <c r="G49" i="5"/>
  <c r="H49" i="5" s="1"/>
  <c r="K49" i="5"/>
  <c r="N49" i="5" s="1"/>
  <c r="E16" i="5"/>
  <c r="L44" i="5" l="1"/>
  <c r="L55" i="5" s="1"/>
  <c r="F21" i="1" s="1"/>
  <c r="G16" i="5"/>
  <c r="T16" i="5" s="1"/>
  <c r="N68" i="5"/>
  <c r="D69" i="5" s="1"/>
  <c r="H24" i="3"/>
  <c r="I24" i="3"/>
  <c r="O16" i="5"/>
  <c r="I49" i="5"/>
  <c r="J49" i="5" s="1"/>
  <c r="E73" i="5"/>
  <c r="I73" i="5"/>
  <c r="J73" i="5" s="1"/>
  <c r="G73" i="5"/>
  <c r="H73" i="5" s="1"/>
  <c r="N44" i="5" l="1"/>
  <c r="M43" i="5"/>
  <c r="M68" i="5"/>
  <c r="G69" i="5"/>
  <c r="H69" i="5" s="1"/>
  <c r="E69" i="5"/>
  <c r="F69" i="5" s="1"/>
  <c r="H16" i="5"/>
  <c r="I69" i="5"/>
  <c r="J69" i="5" s="1"/>
  <c r="F73" i="5"/>
  <c r="K73" i="5"/>
  <c r="N73" i="5" s="1"/>
  <c r="J16" i="5" l="1"/>
  <c r="K16" i="5" s="1"/>
  <c r="L69" i="5"/>
  <c r="K69" i="5"/>
  <c r="I16" i="5"/>
  <c r="S16" i="5" s="1"/>
  <c r="E50" i="5"/>
  <c r="F50" i="5" s="1"/>
  <c r="I50" i="5"/>
  <c r="J50" i="5" s="1"/>
  <c r="G50" i="5"/>
  <c r="H50" i="5" s="1"/>
  <c r="L16" i="5" l="1"/>
  <c r="B17" i="5"/>
  <c r="N69" i="5"/>
  <c r="G25" i="3"/>
  <c r="H25" i="3" s="1"/>
  <c r="L80" i="5"/>
  <c r="G21" i="1" s="1"/>
  <c r="D17" i="5"/>
  <c r="K50" i="5"/>
  <c r="N50" i="5" s="1"/>
  <c r="E74" i="5"/>
  <c r="I74" i="5"/>
  <c r="J74" i="5" s="1"/>
  <c r="G74" i="5"/>
  <c r="H74" i="5" s="1"/>
  <c r="I25" i="3" l="1"/>
  <c r="M80" i="5"/>
  <c r="G23" i="1" s="1"/>
  <c r="H36" i="3" a="1"/>
  <c r="H36" i="3" s="1"/>
  <c r="P17" i="5"/>
  <c r="R17" i="5" s="1"/>
  <c r="M17" i="5"/>
  <c r="E17" i="5"/>
  <c r="F74" i="5"/>
  <c r="K74" i="5"/>
  <c r="N74" i="5" s="1"/>
  <c r="G17" i="5" l="1"/>
  <c r="T17" i="5" s="1"/>
  <c r="O17" i="5"/>
  <c r="I51" i="5"/>
  <c r="J51" i="5" s="1"/>
  <c r="E51" i="5"/>
  <c r="F51" i="5" s="1"/>
  <c r="K51" i="5" s="1"/>
  <c r="N51" i="5" s="1"/>
  <c r="G51" i="5"/>
  <c r="H51" i="5" s="1"/>
  <c r="H17" i="5" l="1"/>
  <c r="J17" i="5" s="1"/>
  <c r="I17" i="5" l="1"/>
  <c r="S17" i="5" s="1"/>
  <c r="D18" i="5" s="1"/>
  <c r="K17" i="5"/>
  <c r="B18" i="5" s="1"/>
  <c r="I52" i="5"/>
  <c r="J52" i="5" s="1"/>
  <c r="G52" i="5"/>
  <c r="H52" i="5" s="1"/>
  <c r="E52" i="5"/>
  <c r="F52" i="5" s="1"/>
  <c r="E75" i="5"/>
  <c r="G75" i="5"/>
  <c r="H75" i="5" s="1"/>
  <c r="I75" i="5"/>
  <c r="J75" i="5" s="1"/>
  <c r="P18" i="5" l="1"/>
  <c r="R18" i="5" s="1"/>
  <c r="E18" i="5"/>
  <c r="M18" i="5"/>
  <c r="O18" i="5" s="1"/>
  <c r="L17" i="5"/>
  <c r="F75" i="5"/>
  <c r="K52" i="5"/>
  <c r="N52" i="5" s="1"/>
  <c r="K75" i="5"/>
  <c r="N75" i="5" s="1"/>
  <c r="G18" i="5" l="1"/>
  <c r="T18" i="5" s="1"/>
  <c r="G53" i="5"/>
  <c r="H53" i="5" s="1"/>
  <c r="E53" i="5"/>
  <c r="F53" i="5" s="1"/>
  <c r="I53" i="5"/>
  <c r="J53" i="5" s="1"/>
  <c r="H18" i="5" l="1"/>
  <c r="J18" i="5" s="1"/>
  <c r="K53" i="5"/>
  <c r="N53" i="5" s="1"/>
  <c r="E76" i="5"/>
  <c r="I76" i="5"/>
  <c r="J76" i="5" s="1"/>
  <c r="G76" i="5"/>
  <c r="H76" i="5" s="1"/>
  <c r="I18" i="5" l="1"/>
  <c r="S18" i="5" s="1"/>
  <c r="K18" i="5"/>
  <c r="B19" i="5" s="1"/>
  <c r="D19" i="5"/>
  <c r="F76" i="5"/>
  <c r="K76" i="5"/>
  <c r="N76" i="5" s="1"/>
  <c r="L18" i="5" l="1"/>
  <c r="P19" i="5"/>
  <c r="R19" i="5" s="1"/>
  <c r="M19" i="5"/>
  <c r="E19" i="5"/>
  <c r="E54" i="5"/>
  <c r="F54" i="5" s="1"/>
  <c r="F55" i="5" s="1"/>
  <c r="I54" i="5"/>
  <c r="J54" i="5" s="1"/>
  <c r="J55" i="5" s="1"/>
  <c r="G54" i="5"/>
  <c r="H54" i="5" s="1"/>
  <c r="H55" i="5" s="1"/>
  <c r="G19" i="5" l="1"/>
  <c r="G30" i="5" s="1"/>
  <c r="E21" i="1" s="1"/>
  <c r="O19" i="5"/>
  <c r="G77" i="5"/>
  <c r="H77" i="5" s="1"/>
  <c r="E77" i="5"/>
  <c r="I77" i="5"/>
  <c r="J77" i="5" s="1"/>
  <c r="K54" i="5"/>
  <c r="H19" i="5" l="1"/>
  <c r="T19" i="5"/>
  <c r="N54" i="5"/>
  <c r="N55" i="5" s="1" a="1"/>
  <c r="N55" i="5" s="1"/>
  <c r="F4" i="3" s="1"/>
  <c r="D20" i="5"/>
  <c r="T20" i="5" s="1"/>
  <c r="K77" i="5"/>
  <c r="N77" i="5" s="1"/>
  <c r="F77" i="5"/>
  <c r="K55" i="5"/>
  <c r="F22" i="1" s="1"/>
  <c r="M55" i="5"/>
  <c r="F23" i="1" s="1"/>
  <c r="B20" i="5" l="1"/>
  <c r="B21" i="5" s="1"/>
  <c r="B22" i="5" s="1"/>
  <c r="B23" i="5" s="1"/>
  <c r="B24" i="5" s="1"/>
  <c r="B25" i="5" s="1"/>
  <c r="B26" i="5" s="1"/>
  <c r="B27" i="5" s="1"/>
  <c r="B28" i="5" s="1"/>
  <c r="B29" i="5" s="1"/>
  <c r="J19" i="5"/>
  <c r="L19" i="5" s="1"/>
  <c r="I19" i="5"/>
  <c r="S19" i="5" s="1"/>
  <c r="E20" i="5"/>
  <c r="F24" i="1"/>
  <c r="F25" i="1"/>
  <c r="F26" i="1"/>
  <c r="F27" i="1" l="1"/>
  <c r="E4" i="3"/>
  <c r="E7" i="3" s="1"/>
  <c r="I78" i="5"/>
  <c r="J78" i="5" s="1"/>
  <c r="E78" i="5"/>
  <c r="G78" i="5"/>
  <c r="H78" i="5" s="1"/>
  <c r="K78" i="5" l="1"/>
  <c r="N78" i="5" s="1"/>
  <c r="F78" i="5"/>
  <c r="D21" i="5" l="1"/>
  <c r="T21" i="5" s="1"/>
  <c r="E21" i="5" l="1"/>
  <c r="I79" i="5"/>
  <c r="J79" i="5" s="1"/>
  <c r="J80" i="5" s="1"/>
  <c r="E79" i="5"/>
  <c r="G79" i="5"/>
  <c r="F79" i="5" l="1"/>
  <c r="F80" i="5" s="1"/>
  <c r="H79" i="5"/>
  <c r="H80" i="5" s="1"/>
  <c r="K79" i="5"/>
  <c r="N79" i="5" s="1"/>
  <c r="K80" i="5" l="1"/>
  <c r="G22" i="1" s="1"/>
  <c r="N80" i="5" a="1"/>
  <c r="N80" i="5" s="1"/>
  <c r="G4" i="3" s="1"/>
  <c r="G26" i="1" l="1"/>
  <c r="D22" i="5"/>
  <c r="T22" i="5" s="1"/>
  <c r="G25" i="1"/>
  <c r="G27" i="1" l="1"/>
  <c r="E22" i="5"/>
  <c r="G24" i="1"/>
  <c r="G28" i="1" l="1"/>
  <c r="F28" i="1"/>
  <c r="D23" i="5" l="1"/>
  <c r="T23" i="5" s="1"/>
  <c r="E23" i="5" l="1"/>
  <c r="D24" i="5" l="1"/>
  <c r="E24" i="5" l="1"/>
  <c r="T24" i="5"/>
  <c r="D25" i="5" l="1"/>
  <c r="T25" i="5" s="1"/>
  <c r="E25" i="5" l="1"/>
  <c r="D26" i="5" l="1"/>
  <c r="T26" i="5" s="1"/>
  <c r="E26" i="5" l="1"/>
  <c r="D27" i="5" l="1"/>
  <c r="T27" i="5" s="1"/>
  <c r="E27" i="5" l="1"/>
  <c r="D28" i="5" l="1"/>
  <c r="T28" i="5" s="1"/>
  <c r="E28" i="5" l="1"/>
  <c r="D29" i="5" l="1"/>
  <c r="T29" i="5" s="1"/>
  <c r="E29" i="5" l="1"/>
  <c r="R30" i="5"/>
  <c r="O30" i="5" l="1"/>
  <c r="H30" i="5" l="1" a="1"/>
  <c r="H30" i="5" s="1"/>
  <c r="L30" i="5" a="1"/>
  <c r="L30" i="5" s="1"/>
  <c r="E26" i="1" l="1"/>
  <c r="I30" i="5"/>
  <c r="S30" i="5" l="1"/>
  <c r="E23" i="1" s="1"/>
  <c r="E24" i="1" s="1"/>
  <c r="T30" i="5" a="1"/>
  <c r="T30" i="5" s="1"/>
  <c r="E25" i="1" s="1"/>
  <c r="E27" i="1" l="1"/>
  <c r="E2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<sst xmlns="http://schemas.openxmlformats.org/spreadsheetml/2006/main" count="168" uniqueCount="123">
  <si>
    <t>Initial investment</t>
  </si>
  <si>
    <t>Net annual rate of return</t>
  </si>
  <si>
    <t>of which</t>
  </si>
  <si>
    <t>Capital growth component</t>
  </si>
  <si>
    <t>Dividend component</t>
  </si>
  <si>
    <t>Annual withdrawals</t>
  </si>
  <si>
    <t>Term in years</t>
  </si>
  <si>
    <t>Interest component</t>
  </si>
  <si>
    <t>Current tax rate</t>
  </si>
  <si>
    <t>Personal tax paid during the term</t>
  </si>
  <si>
    <t xml:space="preserve">Collective </t>
  </si>
  <si>
    <t>Offshore bond</t>
  </si>
  <si>
    <t>Onshore bond</t>
  </si>
  <si>
    <t>Dividend allowance</t>
  </si>
  <si>
    <t>CGT</t>
  </si>
  <si>
    <t>Yes</t>
  </si>
  <si>
    <t>No</t>
  </si>
  <si>
    <t>Withdrawals</t>
  </si>
  <si>
    <t>Withdrawal gain</t>
  </si>
  <si>
    <t>Personal savings allowance</t>
  </si>
  <si>
    <t>Capital growth</t>
  </si>
  <si>
    <t>Personal tax paid on full withdrawal</t>
  </si>
  <si>
    <t>Full withdrawal value net of tax</t>
  </si>
  <si>
    <t>Expected tax rate on full withdrawal</t>
  </si>
  <si>
    <t>Full withdrawal value</t>
  </si>
  <si>
    <t>Total withdrawals during the term</t>
  </si>
  <si>
    <t>CGT allowance</t>
  </si>
  <si>
    <t>Dividend</t>
  </si>
  <si>
    <t>PSA</t>
  </si>
  <si>
    <t>Produced on</t>
  </si>
  <si>
    <t>Personal allowance</t>
  </si>
  <si>
    <t>Starting rate</t>
  </si>
  <si>
    <t xml:space="preserve">launch </t>
  </si>
  <si>
    <t>V1</t>
  </si>
  <si>
    <t>V2</t>
  </si>
  <si>
    <t>Post autumn statement 2022</t>
  </si>
  <si>
    <t>Date</t>
  </si>
  <si>
    <t>Version</t>
  </si>
  <si>
    <t>Comments</t>
  </si>
  <si>
    <t>V3</t>
  </si>
  <si>
    <t>Tailor allowances</t>
  </si>
  <si>
    <t xml:space="preserve">Allowances already used </t>
  </si>
  <si>
    <t>Allowance used</t>
  </si>
  <si>
    <t>Current allowances</t>
  </si>
  <si>
    <t>Taper for offshore</t>
  </si>
  <si>
    <t>Tapered personal all</t>
  </si>
  <si>
    <t>Known reductions in dividend and CGT allowances built into the tool with inflation increases post 2028</t>
  </si>
  <si>
    <t>Other inputs</t>
  </si>
  <si>
    <t>CGT AEA yearly</t>
  </si>
  <si>
    <t>CGT AEA used each year</t>
  </si>
  <si>
    <t xml:space="preserve">3. Where 'CGT AEA used each year' is selected the tool will increase the ongoing base costs by the available CGT annual exempt amount at the end of each respective year except the final year. </t>
  </si>
  <si>
    <t>5. The calculator does not include the effect of any product charges or product conditions such as minimum investments.</t>
  </si>
  <si>
    <t>6. The calculator is designed to give a general demonstration of the comparative returns from Collective (General) Investment Accounts and Bonds net of tax. It should not be taken as offering advice or any recommendation. It is not providing a personalised illustration, this should be obtained prior to using this calculator. Every care has been taken as to its accuracy, but it must be appreciated that neither Quilter nor its representatives can accept any responsibility for loss, however caused, suffered by any person who has acted or refrained from acting as a result of material contained in this calculator.</t>
  </si>
  <si>
    <t>7. Offshore is a common term that is used to describe a range of locations where companies can offer customers growth on their funds that is largely free from tax. This includes jurisdictions such as the Isle of Man and Ireland. Tax treatment can vary from one type of investment to another, and from one market to another.</t>
  </si>
  <si>
    <t xml:space="preserve">8. Annual withdrawals entered are deducted on the last day of each respective year. </t>
  </si>
  <si>
    <t>Ability to reduce % of allowances and rebase the CGT cost each year on CIA</t>
  </si>
  <si>
    <t>Breakdown of returns included</t>
  </si>
  <si>
    <t>v4</t>
  </si>
  <si>
    <t>Feedback rec'd that advisers would like the yearly breakdown of the returns and tax paid</t>
  </si>
  <si>
    <t>End of year</t>
  </si>
  <si>
    <t>Opening value</t>
  </si>
  <si>
    <t>CGT AEA</t>
  </si>
  <si>
    <t>Tax on gain</t>
  </si>
  <si>
    <t>Gain remaining</t>
  </si>
  <si>
    <t>Gain realised</t>
  </si>
  <si>
    <t>Gain carried</t>
  </si>
  <si>
    <t>Interest</t>
  </si>
  <si>
    <t>Dividends</t>
  </si>
  <si>
    <t>Div allowance</t>
  </si>
  <si>
    <t>Total tax</t>
  </si>
  <si>
    <r>
      <rPr>
        <b/>
        <sz val="12"/>
        <color rgb="FF006150"/>
        <rFont val="Arial"/>
        <family val="2"/>
      </rPr>
      <t xml:space="preserve">           Net investment returns </t>
    </r>
    <r>
      <rPr>
        <b/>
        <sz val="12"/>
        <color theme="1"/>
        <rFont val="Arial"/>
        <family val="2"/>
      </rPr>
      <t>Calculator</t>
    </r>
  </si>
  <si>
    <t>Tax charge</t>
  </si>
  <si>
    <t xml:space="preserve">Tax charge </t>
  </si>
  <si>
    <t>Collective</t>
  </si>
  <si>
    <t>Tax rates</t>
  </si>
  <si>
    <t>Divrates</t>
  </si>
  <si>
    <t>CGT rates</t>
  </si>
  <si>
    <t xml:space="preserve">Life Co </t>
  </si>
  <si>
    <t>Life Co div</t>
  </si>
  <si>
    <t>Offshore rate</t>
  </si>
  <si>
    <t>Tax charge within the product</t>
  </si>
  <si>
    <t>Total paid during the term</t>
  </si>
  <si>
    <t>Onshore rates after credit</t>
  </si>
  <si>
    <t>HR TP</t>
  </si>
  <si>
    <t>AR TP</t>
  </si>
  <si>
    <t>Non/BR TP</t>
  </si>
  <si>
    <t>Offshore gain</t>
  </si>
  <si>
    <t>Basic rate</t>
  </si>
  <si>
    <t>Higher rate</t>
  </si>
  <si>
    <t>Additional rate</t>
  </si>
  <si>
    <t>Non taxpayer</t>
  </si>
  <si>
    <t>Current</t>
  </si>
  <si>
    <t>IT</t>
  </si>
  <si>
    <t>Divs</t>
  </si>
  <si>
    <t>Expected</t>
  </si>
  <si>
    <t>1. Figures for the Collective (General) Investment Account reflect the fact that income will be distributed as dividends or interest yearly in arrears. The calculator assumes therefore that product tax is nil and the personal tax paid during term depends on the 'current tax rate' of the investor. The personal savings allowance and dividend allowance will apply as appropriate at the end of each year. Offshore bond figures assume no internal fund taxation. In practice the income from some investments linked to the bond may suffer irrecoverable withholding tax. Onshore bond figures assume that tax is deducted from the fund at the rate of 20% a year on capital growth, 20% on interest and 0% on dividends.</t>
  </si>
  <si>
    <t>4. Top-slicing is assumed to continue as at present. It is assumed that the investor is UK resident for tax purposes throughout the term of the investment and at cash-in. Where non taxpayer is selected for expected tax rate, up to the sum of current Personal Allowance, Starting Rate and Personal Savings Allowance of an Offshore bond gain is taxed at 0% with the rest at 20%. If the offshore bond gain exceeds £100,000 the personal allowance is lost at a rate of £1 for every £2 excess.</t>
  </si>
  <si>
    <t>End net value</t>
  </si>
  <si>
    <t>Dividend tax</t>
  </si>
  <si>
    <t>Interest tax</t>
  </si>
  <si>
    <t>Total charge</t>
  </si>
  <si>
    <t>Annual net return %</t>
  </si>
  <si>
    <t>V5</t>
  </si>
  <si>
    <t>Post budget Oct 24</t>
  </si>
  <si>
    <t>Change of CGT rates to 18% and 24%</t>
  </si>
  <si>
    <t>2. Figures for the Collective (General) Investment Account assume that any Capital Gains Tax (CGT) due on a 'cash-in' or 'withdrawal' is payable at 24% where the current or expected tax rate is higher or additional rate and 18% otherwise, i.e. it is assumed that the gain does not push a nil or basic rate taxpayer into the higher CGT bracket. CGT, dividend and personal Savings allowances are assumed to increase at 2% p.a. from 2028/29</t>
  </si>
  <si>
    <t>9. The above is based on our understanding of current (October 2024) taxation, legislation and HM Revenue &amp; Customs practice, all of which are liable to change without notice. The impact of taxation (and any tax reliefs) depends on individual circumstances.</t>
  </si>
  <si>
    <t>Post 27 - current</t>
  </si>
  <si>
    <t>Post 27 - future</t>
  </si>
  <si>
    <t>Post budget Nov -25</t>
  </si>
  <si>
    <t>v6</t>
  </si>
  <si>
    <t>Higher dividend and savings rates from 2026 and 2027</t>
  </si>
  <si>
    <t>1. Figures for the Collective (General) Investment Account reflect the fact that income will be distributed as dividends or interest yearly in arrears. The calculator assumes therefore that product tax is nil and the personal tax paid during term depends on the 'current tax rate' of the investor. The personal savings allowance and dividend allowance will apply as appropriate at the end of each year. Offshore bond figures assume no internal fund taxation. In practice the income from some investments linked to the bond may suffer irrecoverable withholding tax. Onshore bond figures assume that tax is deducted from the fund at the rate of 20% a year on capital growth, 20% on interest and 0% on dividends. From 6th April 2027, 20% rates will increase to 22%</t>
  </si>
  <si>
    <t>4. Top-slicing is assumed to continue as at present. It is assumed that the investor is UK resident for tax purposes throughout the term of the investment and at cash-in. Where non taxpayer is selected for expected tax rate, up to the sum of current Personal Allowance, Starting Rate and Personal Savings Allowance of an Offshore bond gain is taxed at 0% with the rest at 20%/22% from 2027. If the offshore bond gain exceeds £100,000 the personal allowance is lost at a rate of £1 for every £2 excess.</t>
  </si>
  <si>
    <t>9. The above is based on our understanding of current (December 2025) taxation, legislation and HM Revenue &amp; Customs practice, all of which are liable to change without notice. The impact of taxation (and any tax reliefs) depends on individual circumstances.</t>
  </si>
  <si>
    <t>New year 2026</t>
  </si>
  <si>
    <t>v7</t>
  </si>
  <si>
    <t>Added £ withdrawals and CIA tax is not deducted from the investment</t>
  </si>
  <si>
    <t>5% allowance</t>
  </si>
  <si>
    <t>Excess</t>
  </si>
  <si>
    <t>C/fwd</t>
  </si>
  <si>
    <t>Withdrawal tax</t>
  </si>
  <si>
    <t>Onshore gain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</si>
</sst>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quot;£&quot;#,##0"/>
    <numFmt numFmtId="166" formatCode="[$-F800]dddd\,\ mmmm\ dd\,\ yyyy"/>
  </numFmts>
  <fonts count="28" x14ac:knownFonts="1">
    <font>
      <sz val="11"/>
      <color theme="1"/>
      <name val="Times New Roman"/>
      <family val="2"/>
    </font>
    <font>
      <sz val="14"/>
      <color theme="1"/>
      <name val="Times New Roman"/>
      <family val="2"/>
    </font>
    <font>
      <b/>
      <sz val="14"/>
      <color theme="1"/>
      <name val="Times New Roman"/>
      <family val="1"/>
    </font>
    <font>
      <u/>
      <sz val="11"/>
      <color theme="10"/>
      <name val="Times New Roman"/>
      <family val="2"/>
    </font>
    <font>
      <b/>
      <sz val="10"/>
      <color theme="1"/>
      <name val="Arial"/>
      <family val="2"/>
    </font>
    <font>
      <b/>
      <sz val="14"/>
      <color theme="1"/>
      <name val="Arial"/>
      <family val="2"/>
    </font>
    <font>
      <sz val="11"/>
      <color theme="1"/>
      <name val="Arial"/>
      <family val="2"/>
    </font>
    <font>
      <sz val="14"/>
      <color theme="1"/>
      <name val="Arial"/>
      <family val="2"/>
    </font>
    <font>
      <b/>
      <u/>
      <sz val="12"/>
      <color theme="1"/>
      <name val="Arial"/>
      <family val="2"/>
    </font>
    <font>
      <b/>
      <sz val="12"/>
      <name val="Arial"/>
      <family val="2"/>
    </font>
    <font>
      <b/>
      <sz val="12"/>
      <color theme="1"/>
      <name val="Arial"/>
      <family val="2"/>
    </font>
    <font>
      <b/>
      <u/>
      <sz val="12"/>
      <name val="Arial"/>
      <family val="2"/>
    </font>
    <font>
      <b/>
      <sz val="12"/>
      <color theme="0"/>
      <name val="Arial"/>
      <family val="2"/>
    </font>
    <font>
      <b/>
      <sz val="12"/>
      <color rgb="FF006150"/>
      <name val="Arial"/>
      <family val="2"/>
    </font>
    <font>
      <sz val="12"/>
      <color theme="1"/>
      <name val="Arial"/>
      <family val="2"/>
    </font>
    <font>
      <u/>
      <sz val="12"/>
      <color rgb="FF006150"/>
      <name val="Arial"/>
      <family val="2"/>
    </font>
    <font>
      <sz val="10"/>
      <name val="Arial"/>
      <family val="2"/>
    </font>
    <font>
      <sz val="10"/>
      <color theme="1"/>
      <name val="Arial"/>
      <family val="2"/>
    </font>
    <font>
      <sz val="11"/>
      <color theme="0"/>
      <name val="Times New Roman"/>
      <family val="2"/>
    </font>
    <font>
      <b/>
      <u/>
      <sz val="10"/>
      <color theme="1"/>
      <name val="Arial"/>
      <family val="2"/>
    </font>
    <font>
      <sz val="11"/>
      <name val="Times New Roman"/>
      <family val="2"/>
    </font>
    <font>
      <sz val="10"/>
      <color theme="0"/>
      <name val="Arial"/>
      <family val="2"/>
    </font>
    <font>
      <b/>
      <u/>
      <sz val="11"/>
      <color theme="1"/>
      <name val="Arial"/>
      <family val="2"/>
    </font>
    <font>
      <sz val="11"/>
      <color theme="1"/>
      <name val="Times New Roman"/>
      <family val="2"/>
    </font>
    <font>
      <b/>
      <sz val="11"/>
      <name val="Arial"/>
      <family val="2"/>
    </font>
    <font>
      <b/>
      <sz val="11"/>
      <color theme="1"/>
      <name val="Arial"/>
      <family val="2"/>
    </font>
    <font>
      <sz val="12"/>
      <color theme="0"/>
      <name val="Arial"/>
      <family val="2"/>
    </font>
    <font>
      <b/>
      <sz val="11"/>
      <color theme="1"/>
      <name val="Times New Roman"/>
      <family val="1"/>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ck">
        <color rgb="FF6EAB24"/>
      </left>
      <right/>
      <top style="thick">
        <color rgb="FF6EAB24"/>
      </top>
      <bottom/>
      <diagonal/>
    </border>
    <border>
      <left/>
      <right/>
      <top style="thick">
        <color rgb="FF6EAB24"/>
      </top>
      <bottom/>
      <diagonal/>
    </border>
    <border>
      <left/>
      <right style="thick">
        <color rgb="FF6EAB24"/>
      </right>
      <top style="thick">
        <color rgb="FF6EAB24"/>
      </top>
      <bottom/>
      <diagonal/>
    </border>
    <border>
      <left style="thick">
        <color rgb="FF6EAB24"/>
      </left>
      <right/>
      <top/>
      <bottom/>
      <diagonal/>
    </border>
    <border>
      <left/>
      <right style="thick">
        <color rgb="FF6EAB24"/>
      </right>
      <top/>
      <bottom/>
      <diagonal/>
    </border>
    <border>
      <left style="medium">
        <color indexed="64"/>
      </left>
      <right style="thick">
        <color rgb="FF6EAB24"/>
      </right>
      <top/>
      <bottom/>
      <diagonal/>
    </border>
    <border>
      <left style="thick">
        <color rgb="FF6EAB24"/>
      </left>
      <right/>
      <top/>
      <bottom style="thick">
        <color rgb="FF6EAB24"/>
      </bottom>
      <diagonal/>
    </border>
    <border>
      <left/>
      <right/>
      <top/>
      <bottom style="thick">
        <color rgb="FF6EAB24"/>
      </bottom>
      <diagonal/>
    </border>
    <border>
      <left/>
      <right style="thick">
        <color rgb="FF6EAB24"/>
      </right>
      <top/>
      <bottom style="thick">
        <color rgb="FF6EAB2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s>
  <cellStyleXfs count="3">
    <xf numFmtId="0" fontId="0" fillId="0" borderId="0"/>
    <xf numFmtId="0" fontId="3" fillId="0" borderId="0" applyNumberFormat="0" applyFill="0" applyBorder="0" applyAlignment="0" applyProtection="0"/>
    <xf numFmtId="9" fontId="23" fillId="0" borderId="0" applyFont="0" applyFill="0" applyBorder="0" applyAlignment="0" applyProtection="0"/>
  </cellStyleXfs>
  <cellXfs count="93">
    <xf numFmtId="0" fontId="0" fillId="0" borderId="0" xfId="0"/>
    <xf numFmtId="165" fontId="0" fillId="0" borderId="0" xfId="0" applyNumberFormat="1"/>
    <xf numFmtId="9" fontId="0" fillId="0" borderId="0" xfId="0" applyNumberFormat="1"/>
    <xf numFmtId="10" fontId="0" fillId="0" borderId="0" xfId="0" applyNumberFormat="1"/>
    <xf numFmtId="0" fontId="1" fillId="0" borderId="0" xfId="0" applyFont="1"/>
    <xf numFmtId="0" fontId="1" fillId="0" borderId="8" xfId="0" applyFont="1" applyBorder="1"/>
    <xf numFmtId="0" fontId="2" fillId="0" borderId="9" xfId="0" applyFont="1" applyBorder="1"/>
    <xf numFmtId="0" fontId="1" fillId="0" borderId="9" xfId="0" applyFont="1" applyBorder="1"/>
    <xf numFmtId="0" fontId="0" fillId="0" borderId="9" xfId="0" applyBorder="1"/>
    <xf numFmtId="0" fontId="1" fillId="0" borderId="10" xfId="0" applyFont="1" applyBorder="1"/>
    <xf numFmtId="0" fontId="1" fillId="0" borderId="11" xfId="0" applyFont="1" applyBorder="1"/>
    <xf numFmtId="0" fontId="1" fillId="0" borderId="12" xfId="0" applyFont="1" applyBorder="1"/>
    <xf numFmtId="0" fontId="0" fillId="0" borderId="11" xfId="0" applyBorder="1"/>
    <xf numFmtId="0" fontId="0" fillId="0" borderId="13" xfId="0" applyBorder="1"/>
    <xf numFmtId="0" fontId="0" fillId="0" borderId="12" xfId="0" applyBorder="1"/>
    <xf numFmtId="0" fontId="0" fillId="0" borderId="14" xfId="0" applyBorder="1"/>
    <xf numFmtId="0" fontId="0" fillId="0" borderId="15" xfId="0" applyBorder="1"/>
    <xf numFmtId="0" fontId="0" fillId="0" borderId="16" xfId="0" applyBorder="1"/>
    <xf numFmtId="17" fontId="0" fillId="0" borderId="0" xfId="0" applyNumberFormat="1"/>
    <xf numFmtId="0" fontId="0" fillId="0" borderId="8" xfId="0" applyBorder="1"/>
    <xf numFmtId="0" fontId="0" fillId="0" borderId="10" xfId="0" applyBorder="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9" fillId="0" borderId="0" xfId="0" applyFont="1" applyAlignment="1">
      <alignment horizontal="left"/>
    </xf>
    <xf numFmtId="0" fontId="12" fillId="0" borderId="0" xfId="0" applyFont="1" applyAlignment="1">
      <alignment horizontal="left" vertical="center" wrapText="1" indent="1"/>
    </xf>
    <xf numFmtId="0" fontId="14" fillId="0" borderId="0" xfId="0" applyFont="1"/>
    <xf numFmtId="164" fontId="9" fillId="2" borderId="5" xfId="0" applyNumberFormat="1" applyFont="1" applyFill="1" applyBorder="1" applyProtection="1">
      <protection locked="0"/>
    </xf>
    <xf numFmtId="0" fontId="14" fillId="0" borderId="3" xfId="0" applyFont="1" applyBorder="1"/>
    <xf numFmtId="165" fontId="10" fillId="0" borderId="5" xfId="0" applyNumberFormat="1" applyFont="1" applyBorder="1"/>
    <xf numFmtId="10" fontId="9" fillId="2" borderId="1" xfId="0" applyNumberFormat="1" applyFont="1" applyFill="1" applyBorder="1" applyProtection="1">
      <protection locked="0"/>
    </xf>
    <xf numFmtId="0" fontId="9" fillId="0" borderId="2" xfId="0" applyFont="1" applyBorder="1"/>
    <xf numFmtId="165" fontId="10" fillId="0" borderId="1" xfId="0" applyNumberFormat="1" applyFont="1" applyBorder="1"/>
    <xf numFmtId="10" fontId="9" fillId="2" borderId="6" xfId="0" applyNumberFormat="1" applyFont="1" applyFill="1" applyBorder="1" applyProtection="1">
      <protection locked="0"/>
    </xf>
    <xf numFmtId="0" fontId="15" fillId="0" borderId="3" xfId="1" applyFont="1" applyFill="1" applyBorder="1" applyProtection="1"/>
    <xf numFmtId="9" fontId="10" fillId="2" borderId="1" xfId="0" applyNumberFormat="1" applyFont="1" applyFill="1" applyBorder="1" applyProtection="1">
      <protection locked="0"/>
    </xf>
    <xf numFmtId="10" fontId="9" fillId="0" borderId="1" xfId="0" applyNumberFormat="1" applyFont="1" applyBorder="1"/>
    <xf numFmtId="9" fontId="9" fillId="0" borderId="17" xfId="0" applyNumberFormat="1" applyFont="1" applyBorder="1"/>
    <xf numFmtId="1" fontId="9" fillId="2" borderId="1" xfId="0" applyNumberFormat="1" applyFont="1" applyFill="1" applyBorder="1" applyProtection="1">
      <protection locked="0"/>
    </xf>
    <xf numFmtId="0" fontId="10" fillId="2" borderId="1" xfId="0" applyFont="1" applyFill="1" applyBorder="1" applyAlignment="1" applyProtection="1">
      <alignment horizontal="right"/>
      <protection locked="0"/>
    </xf>
    <xf numFmtId="0" fontId="4" fillId="0" borderId="18" xfId="0" applyFont="1" applyBorder="1"/>
    <xf numFmtId="0" fontId="18" fillId="0" borderId="0" xfId="0" applyFont="1"/>
    <xf numFmtId="0" fontId="17" fillId="0" borderId="18" xfId="0" applyFont="1" applyBorder="1"/>
    <xf numFmtId="0" fontId="17" fillId="0" borderId="0" xfId="0" applyFont="1"/>
    <xf numFmtId="0" fontId="19" fillId="0" borderId="0" xfId="0" applyFont="1"/>
    <xf numFmtId="0" fontId="20" fillId="0" borderId="0" xfId="0" applyFont="1"/>
    <xf numFmtId="165" fontId="17" fillId="0" borderId="18" xfId="0" applyNumberFormat="1" applyFont="1" applyBorder="1"/>
    <xf numFmtId="165" fontId="17" fillId="0" borderId="20" xfId="0" applyNumberFormat="1" applyFont="1" applyBorder="1"/>
    <xf numFmtId="165" fontId="21" fillId="0" borderId="0" xfId="0" applyNumberFormat="1" applyFont="1"/>
    <xf numFmtId="0" fontId="18" fillId="0" borderId="11" xfId="0" applyFont="1" applyBorder="1"/>
    <xf numFmtId="165" fontId="18" fillId="0" borderId="11" xfId="0" applyNumberFormat="1" applyFont="1" applyBorder="1"/>
    <xf numFmtId="0" fontId="18" fillId="0" borderId="12" xfId="0" applyFont="1" applyBorder="1"/>
    <xf numFmtId="165" fontId="17" fillId="0" borderId="0" xfId="0" applyNumberFormat="1" applyFont="1"/>
    <xf numFmtId="165" fontId="17" fillId="0" borderId="19" xfId="0" applyNumberFormat="1" applyFont="1" applyBorder="1"/>
    <xf numFmtId="0" fontId="22" fillId="0" borderId="0" xfId="0" applyFont="1"/>
    <xf numFmtId="0" fontId="24" fillId="0" borderId="0" xfId="0" applyFont="1"/>
    <xf numFmtId="0" fontId="24" fillId="0" borderId="4" xfId="0" applyFont="1" applyBorder="1"/>
    <xf numFmtId="0" fontId="25" fillId="0" borderId="0" xfId="0" applyFont="1"/>
    <xf numFmtId="9" fontId="9" fillId="2" borderId="1" xfId="0" applyNumberFormat="1" applyFont="1" applyFill="1" applyBorder="1" applyAlignment="1" applyProtection="1">
      <alignment horizontal="right"/>
      <protection locked="0"/>
    </xf>
    <xf numFmtId="10" fontId="0" fillId="0" borderId="0" xfId="2" applyNumberFormat="1" applyFont="1"/>
    <xf numFmtId="165" fontId="17" fillId="3" borderId="18" xfId="0" applyNumberFormat="1" applyFont="1" applyFill="1" applyBorder="1"/>
    <xf numFmtId="0" fontId="16" fillId="0" borderId="0" xfId="0" applyFont="1" applyAlignment="1">
      <alignment vertical="top" wrapText="1"/>
    </xf>
    <xf numFmtId="165" fontId="10" fillId="0" borderId="6" xfId="0" applyNumberFormat="1" applyFont="1" applyBorder="1"/>
    <xf numFmtId="10" fontId="25" fillId="0" borderId="1" xfId="0" applyNumberFormat="1" applyFont="1" applyBorder="1"/>
    <xf numFmtId="0" fontId="26" fillId="0" borderId="0" xfId="0" applyFont="1"/>
    <xf numFmtId="0" fontId="27" fillId="0" borderId="0" xfId="0" applyFont="1"/>
    <xf numFmtId="165" fontId="16" fillId="0" borderId="19" xfId="0" applyNumberFormat="1" applyFont="1" applyBorder="1"/>
    <xf numFmtId="164" fontId="9" fillId="2" borderId="7" xfId="0" applyNumberFormat="1" applyFont="1" applyFill="1" applyBorder="1" applyProtection="1">
      <protection locked="0"/>
    </xf>
    <xf numFmtId="0" fontId="0" fillId="4" borderId="0" xfId="0" applyFill="1"/>
    <xf numFmtId="0" fontId="17" fillId="0" borderId="0" xfId="0" applyFont="1" applyAlignment="1">
      <alignment vertical="center" wrapText="1"/>
    </xf>
    <xf numFmtId="0" fontId="0" fillId="3" borderId="0" xfId="0" applyFill="1"/>
    <xf numFmtId="0" fontId="17" fillId="0" borderId="0" xfId="0" applyFont="1" applyAlignment="1">
      <alignment wrapText="1"/>
    </xf>
    <xf numFmtId="0" fontId="16" fillId="0" borderId="12"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2" xfId="0" applyFont="1" applyBorder="1" applyAlignment="1">
      <alignment vertical="center" wrapText="1"/>
    </xf>
    <xf numFmtId="0" fontId="17" fillId="0" borderId="12" xfId="0" applyFont="1" applyBorder="1" applyAlignment="1">
      <alignment horizontal="center" vertical="center"/>
    </xf>
    <xf numFmtId="0" fontId="16" fillId="0" borderId="21" xfId="0" applyFont="1" applyBorder="1" applyAlignment="1">
      <alignment vertical="center" wrapText="1"/>
    </xf>
    <xf numFmtId="0" fontId="17" fillId="0" borderId="21" xfId="0" applyFont="1" applyBorder="1" applyAlignment="1">
      <alignment vertical="center" wrapText="1"/>
    </xf>
    <xf numFmtId="0" fontId="17" fillId="0" borderId="21" xfId="0" applyFont="1" applyBorder="1" applyAlignment="1">
      <alignment vertical="center"/>
    </xf>
    <xf numFmtId="165" fontId="16" fillId="0" borderId="0" xfId="0" applyNumberFormat="1" applyFont="1"/>
    <xf numFmtId="165" fontId="0" fillId="0" borderId="12" xfId="0" applyNumberFormat="1" applyBorder="1"/>
    <xf numFmtId="10" fontId="0" fillId="0" borderId="12" xfId="0" applyNumberFormat="1" applyBorder="1"/>
    <xf numFmtId="0" fontId="16" fillId="0" borderId="0" xfId="0" applyFont="1" applyAlignment="1">
      <alignment horizontal="left" vertical="center" wrapText="1"/>
    </xf>
    <xf numFmtId="0" fontId="17" fillId="0" borderId="0" xfId="0" applyFont="1" applyAlignment="1">
      <alignment horizontal="left" vertical="center" wrapText="1"/>
    </xf>
    <xf numFmtId="0" fontId="10" fillId="0" borderId="0" xfId="0" applyFont="1" applyAlignment="1">
      <alignment horizontal="center"/>
    </xf>
    <xf numFmtId="0" fontId="16" fillId="0" borderId="0" xfId="0" applyFont="1" applyAlignment="1">
      <alignment horizontal="left" vertical="top" wrapText="1"/>
    </xf>
    <xf numFmtId="166" fontId="10" fillId="0" borderId="0" xfId="0" applyNumberFormat="1" applyFont="1" applyAlignment="1">
      <alignment horizontal="left"/>
    </xf>
    <xf numFmtId="0" fontId="17" fillId="0" borderId="0" xfId="0" applyFont="1" applyAlignment="1">
      <alignment horizontal="left" vertical="center"/>
    </xf>
    <xf numFmtId="0" fontId="10" fillId="0" borderId="0" xfId="0" applyFont="1" applyAlignment="1">
      <alignment horizontal="left"/>
    </xf>
  </cellXfs>
  <cellStyles count="3">
    <cellStyle name="Hyperlink" xfId="1" builtinId="8"/>
    <cellStyle name="Normal" xfId="0" builtinId="0"/>
    <cellStyle name="Per cent" xfId="2" builtinId="5"/>
  </cellStyles>
  <dxfs count="0"/>
  <tableStyles count="0" defaultTableStyle="TableStyleMedium2" defaultPivotStyle="PivotStyleLight16"/>
  <colors>
    <mruColors>
      <color rgb="FF6EAB24"/>
      <color rgb="FF006150"/>
      <color rgb="FF9AC466"/>
      <color rgb="FFD3E6BD"/>
      <color rgb="FF4C9085"/>
      <color rgb="FF7FB0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Breakdown!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Input!D7"/><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331304</xdr:colOff>
      <xdr:row>1</xdr:row>
      <xdr:rowOff>34511</xdr:rowOff>
    </xdr:from>
    <xdr:to>
      <xdr:col>2</xdr:col>
      <xdr:colOff>1540427</xdr:colOff>
      <xdr:row>5</xdr:row>
      <xdr:rowOff>97045</xdr:rowOff>
    </xdr:to>
    <xdr:pic>
      <xdr:nvPicPr>
        <xdr:cNvPr id="3" name="Picture 2">
          <a:extLst>
            <a:ext uri="{FF2B5EF4-FFF2-40B4-BE49-F238E27FC236}">
              <a16:creationId xmlns:a16="http://schemas.microsoft.com/office/drawing/2014/main" id="{373C9CAA-A549-47AF-BB50-EBE919685EF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0904" y="225011"/>
          <a:ext cx="1923498" cy="1034084"/>
        </a:xfrm>
        <a:prstGeom prst="rect">
          <a:avLst/>
        </a:prstGeom>
      </xdr:spPr>
    </xdr:pic>
    <xdr:clientData/>
  </xdr:twoCellAnchor>
  <xdr:twoCellAnchor>
    <xdr:from>
      <xdr:col>7</xdr:col>
      <xdr:colOff>57150</xdr:colOff>
      <xdr:row>19</xdr:row>
      <xdr:rowOff>200025</xdr:rowOff>
    </xdr:from>
    <xdr:to>
      <xdr:col>8</xdr:col>
      <xdr:colOff>9525</xdr:colOff>
      <xdr:row>22</xdr:row>
      <xdr:rowOff>86845</xdr:rowOff>
    </xdr:to>
    <xdr:sp macro="" textlink="">
      <xdr:nvSpPr>
        <xdr:cNvPr id="2" name="Rectangle: Rounded Corners 1">
          <a:hlinkClick xmlns:r="http://schemas.openxmlformats.org/officeDocument/2006/relationships" r:id="rId2"/>
          <a:extLst>
            <a:ext uri="{FF2B5EF4-FFF2-40B4-BE49-F238E27FC236}">
              <a16:creationId xmlns:a16="http://schemas.microsoft.com/office/drawing/2014/main" id="{1757657C-EED7-4D03-8C3F-3C6303296142}"/>
            </a:ext>
          </a:extLst>
        </xdr:cNvPr>
        <xdr:cNvSpPr/>
      </xdr:nvSpPr>
      <xdr:spPr>
        <a:xfrm>
          <a:off x="8629650" y="4333875"/>
          <a:ext cx="1066800" cy="515470"/>
        </a:xfrm>
        <a:prstGeom prst="roundRect">
          <a:avLst/>
        </a:prstGeom>
        <a:noFill/>
        <a:ln>
          <a:solidFill>
            <a:srgbClr val="6EAB24"/>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rgbClr val="006150"/>
              </a:solidFill>
            </a:rPr>
            <a:t>View yearly breakdown</a:t>
          </a:r>
          <a:endParaRPr lang="en-GB" sz="1100" b="1">
            <a:solidFill>
              <a:srgbClr val="00615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645583</xdr:colOff>
      <xdr:row>1</xdr:row>
      <xdr:rowOff>84667</xdr:rowOff>
    </xdr:from>
    <xdr:to>
      <xdr:col>3</xdr:col>
      <xdr:colOff>600581</xdr:colOff>
      <xdr:row>6</xdr:row>
      <xdr:rowOff>134501</xdr:rowOff>
    </xdr:to>
    <xdr:pic>
      <xdr:nvPicPr>
        <xdr:cNvPr id="2" name="Picture 1">
          <a:extLst>
            <a:ext uri="{FF2B5EF4-FFF2-40B4-BE49-F238E27FC236}">
              <a16:creationId xmlns:a16="http://schemas.microsoft.com/office/drawing/2014/main" id="{5F6C8F49-0CE7-427A-8B5F-D1407746AD3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2916" y="275167"/>
          <a:ext cx="1923498" cy="1034084"/>
        </a:xfrm>
        <a:prstGeom prst="rect">
          <a:avLst/>
        </a:prstGeom>
      </xdr:spPr>
    </xdr:pic>
    <xdr:clientData/>
  </xdr:twoCellAnchor>
  <xdr:twoCellAnchor>
    <xdr:from>
      <xdr:col>6</xdr:col>
      <xdr:colOff>919655</xdr:colOff>
      <xdr:row>3</xdr:row>
      <xdr:rowOff>32844</xdr:rowOff>
    </xdr:from>
    <xdr:to>
      <xdr:col>8</xdr:col>
      <xdr:colOff>15765</xdr:colOff>
      <xdr:row>5</xdr:row>
      <xdr:rowOff>165125</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CF2D035-48B7-4F0D-AE60-E301DCB542B5}"/>
            </a:ext>
          </a:extLst>
        </xdr:cNvPr>
        <xdr:cNvSpPr/>
      </xdr:nvSpPr>
      <xdr:spPr>
        <a:xfrm>
          <a:off x="6525172" y="613103"/>
          <a:ext cx="1066800" cy="515470"/>
        </a:xfrm>
        <a:prstGeom prst="roundRect">
          <a:avLst/>
        </a:prstGeom>
        <a:noFill/>
        <a:ln>
          <a:solidFill>
            <a:srgbClr val="6EAB24"/>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rgbClr val="006150"/>
              </a:solidFill>
            </a:rPr>
            <a:t>Return to input</a:t>
          </a:r>
          <a:endParaRPr lang="en-GB" sz="1100" b="1">
            <a:solidFill>
              <a:srgbClr val="00615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153"/>
  <sheetViews>
    <sheetView showGridLines="0" showRowColHeaders="0" tabSelected="1" zoomScaleNormal="100" workbookViewId="0">
      <selection activeCell="D7" sqref="D7"/>
    </sheetView>
  </sheetViews>
  <sheetFormatPr defaultColWidth="0" defaultRowHeight="15" zeroHeight="1" x14ac:dyDescent="0.25"/>
  <cols>
    <col min="1" max="1" width="9.140625" customWidth="1"/>
    <col min="2" max="2" width="10.7109375" customWidth="1"/>
    <col min="3" max="3" width="37.140625" bestFit="1" customWidth="1"/>
    <col min="4" max="4" width="19.5703125" customWidth="1"/>
    <col min="5" max="5" width="17.140625" customWidth="1"/>
    <col min="6" max="6" width="18" bestFit="1" customWidth="1"/>
    <col min="7" max="7" width="16.85546875" bestFit="1" customWidth="1"/>
    <col min="8" max="8" width="16.7109375" customWidth="1"/>
    <col min="9" max="9" width="10.7109375" customWidth="1"/>
    <col min="10" max="10" width="10.140625" customWidth="1"/>
    <col min="11" max="16384" width="9.140625" hidden="1"/>
  </cols>
  <sheetData>
    <row r="1" spans="1:12" x14ac:dyDescent="0.25"/>
    <row r="2" spans="1:12" ht="19.5" thickBot="1" x14ac:dyDescent="0.35">
      <c r="A2" s="4"/>
      <c r="B2" s="4"/>
      <c r="C2" s="4"/>
      <c r="D2" s="4"/>
      <c r="E2" s="4"/>
      <c r="F2" s="4"/>
      <c r="G2" s="4"/>
      <c r="H2" s="4"/>
      <c r="I2" s="4"/>
      <c r="J2" s="4"/>
      <c r="K2" s="4"/>
      <c r="L2" s="4"/>
    </row>
    <row r="3" spans="1:12" ht="19.5" thickTop="1" x14ac:dyDescent="0.3">
      <c r="A3" s="4"/>
      <c r="B3" s="5"/>
      <c r="C3" s="6"/>
      <c r="D3" s="7"/>
      <c r="E3" s="7"/>
      <c r="F3" s="7"/>
      <c r="G3" s="8"/>
      <c r="H3" s="7"/>
      <c r="I3" s="9"/>
      <c r="J3" s="4"/>
      <c r="K3" s="4"/>
      <c r="L3" s="4"/>
    </row>
    <row r="4" spans="1:12" ht="18.75" x14ac:dyDescent="0.3">
      <c r="A4" s="4"/>
      <c r="B4" s="10"/>
      <c r="C4" s="88" t="s">
        <v>70</v>
      </c>
      <c r="D4" s="88"/>
      <c r="E4" s="88"/>
      <c r="F4" s="21"/>
      <c r="G4" s="22"/>
      <c r="H4" s="23"/>
      <c r="I4" s="11"/>
      <c r="J4" s="4"/>
      <c r="K4" s="4"/>
      <c r="L4" s="4"/>
    </row>
    <row r="5" spans="1:12" ht="18.75" x14ac:dyDescent="0.3">
      <c r="A5" s="4"/>
      <c r="B5" s="10"/>
      <c r="C5" s="21"/>
      <c r="D5" s="23"/>
      <c r="E5" s="23"/>
      <c r="F5" s="23"/>
      <c r="G5" s="22"/>
      <c r="H5" s="23"/>
      <c r="I5" s="11"/>
      <c r="J5" s="4"/>
      <c r="K5" s="4"/>
      <c r="L5" s="4"/>
    </row>
    <row r="6" spans="1:12" ht="19.5" thickBot="1" x14ac:dyDescent="0.35">
      <c r="A6" s="4"/>
      <c r="B6" s="10"/>
      <c r="C6" s="30"/>
      <c r="D6" s="30"/>
      <c r="E6" s="30"/>
      <c r="F6" s="24" t="s">
        <v>43</v>
      </c>
      <c r="G6" s="30"/>
      <c r="H6" s="30"/>
      <c r="I6" s="11"/>
      <c r="J6" s="4"/>
      <c r="K6" s="4"/>
      <c r="L6" s="4"/>
    </row>
    <row r="7" spans="1:12" ht="16.5" thickBot="1" x14ac:dyDescent="0.3">
      <c r="B7" s="12"/>
      <c r="C7" s="59" t="s">
        <v>0</v>
      </c>
      <c r="D7" s="31">
        <v>100000</v>
      </c>
      <c r="E7" s="32"/>
      <c r="F7" s="61" t="s">
        <v>13</v>
      </c>
      <c r="G7" s="30"/>
      <c r="H7" s="33">
        <f ca="1">VLOOKUP(H$18,Allowances!A$2:D$100,3,FALSE)</f>
        <v>500</v>
      </c>
      <c r="I7" s="13"/>
    </row>
    <row r="8" spans="1:12" ht="16.5" thickBot="1" x14ac:dyDescent="0.3">
      <c r="B8" s="12"/>
      <c r="C8" s="59" t="s">
        <v>1</v>
      </c>
      <c r="D8" s="34">
        <v>0</v>
      </c>
      <c r="E8" s="32"/>
      <c r="F8" s="61" t="s">
        <v>19</v>
      </c>
      <c r="G8" s="30"/>
      <c r="H8" s="33">
        <f ca="1">VLOOKUP(H$18,Allowances!A$2:D$100,4,FALSE)</f>
        <v>1000</v>
      </c>
      <c r="I8" s="13"/>
    </row>
    <row r="9" spans="1:12" ht="16.5" thickBot="1" x14ac:dyDescent="0.3">
      <c r="B9" s="12"/>
      <c r="C9" s="59" t="s">
        <v>2</v>
      </c>
      <c r="D9" s="35"/>
      <c r="E9" s="30"/>
      <c r="F9" s="61" t="s">
        <v>26</v>
      </c>
      <c r="G9" s="30"/>
      <c r="H9" s="36">
        <f ca="1">VLOOKUP(H$18,Allowances!A$2:D$100,2,FALSE)</f>
        <v>3000</v>
      </c>
      <c r="I9" s="14"/>
    </row>
    <row r="10" spans="1:12" ht="16.5" thickBot="1" x14ac:dyDescent="0.3">
      <c r="B10" s="12"/>
      <c r="C10" s="59" t="s">
        <v>3</v>
      </c>
      <c r="D10" s="37">
        <v>0</v>
      </c>
      <c r="E10" s="38"/>
      <c r="F10" s="24" t="s">
        <v>41</v>
      </c>
      <c r="G10" s="30"/>
      <c r="H10" s="30"/>
      <c r="I10" s="14"/>
    </row>
    <row r="11" spans="1:12" ht="16.5" thickBot="1" x14ac:dyDescent="0.3">
      <c r="B11" s="12"/>
      <c r="C11" s="60" t="s">
        <v>7</v>
      </c>
      <c r="D11" s="37">
        <v>0</v>
      </c>
      <c r="E11" s="30"/>
      <c r="F11" s="61" t="s">
        <v>13</v>
      </c>
      <c r="G11" s="30"/>
      <c r="H11" s="39">
        <v>0</v>
      </c>
      <c r="I11" s="14"/>
    </row>
    <row r="12" spans="1:12" ht="16.5" thickBot="1" x14ac:dyDescent="0.3">
      <c r="B12" s="12"/>
      <c r="C12" s="60" t="s">
        <v>4</v>
      </c>
      <c r="D12" s="40">
        <f>Total_annual_return-Cap_return-Int_return</f>
        <v>0</v>
      </c>
      <c r="E12" s="30"/>
      <c r="F12" s="61" t="s">
        <v>19</v>
      </c>
      <c r="G12" s="30"/>
      <c r="H12" s="39">
        <v>0</v>
      </c>
      <c r="I12" s="14"/>
    </row>
    <row r="13" spans="1:12" ht="16.5" thickBot="1" x14ac:dyDescent="0.3">
      <c r="B13" s="12"/>
      <c r="C13" s="60" t="s">
        <v>5</v>
      </c>
      <c r="D13" s="71">
        <v>0</v>
      </c>
      <c r="E13" s="30"/>
      <c r="F13" s="61" t="s">
        <v>26</v>
      </c>
      <c r="G13" s="30"/>
      <c r="H13" s="39">
        <v>0</v>
      </c>
      <c r="I13" s="14"/>
    </row>
    <row r="14" spans="1:12" ht="16.5" thickBot="1" x14ac:dyDescent="0.3">
      <c r="B14" s="12"/>
      <c r="C14" s="60" t="s">
        <v>23</v>
      </c>
      <c r="D14" s="62" t="s">
        <v>87</v>
      </c>
      <c r="E14" s="30"/>
      <c r="F14" s="27" t="s">
        <v>47</v>
      </c>
      <c r="G14" s="25"/>
      <c r="H14" s="41"/>
      <c r="I14" s="14"/>
    </row>
    <row r="15" spans="1:12" ht="16.5" thickBot="1" x14ac:dyDescent="0.3">
      <c r="B15" s="12"/>
      <c r="C15" s="60" t="s">
        <v>6</v>
      </c>
      <c r="D15" s="42">
        <v>10</v>
      </c>
      <c r="E15" s="32"/>
      <c r="F15" s="59" t="s">
        <v>8</v>
      </c>
      <c r="G15" s="28"/>
      <c r="H15" s="62" t="s">
        <v>87</v>
      </c>
      <c r="I15" s="14"/>
    </row>
    <row r="16" spans="1:12" ht="16.5" thickBot="1" x14ac:dyDescent="0.3">
      <c r="B16" s="12"/>
      <c r="C16" s="30"/>
      <c r="D16" s="30"/>
      <c r="E16" s="30"/>
      <c r="F16" s="61" t="s">
        <v>49</v>
      </c>
      <c r="G16" s="30"/>
      <c r="H16" s="43" t="s">
        <v>15</v>
      </c>
      <c r="I16" s="14"/>
    </row>
    <row r="17" spans="2:9" ht="18" x14ac:dyDescent="0.25">
      <c r="B17" s="12"/>
      <c r="C17" s="23"/>
      <c r="D17" s="23"/>
      <c r="E17" s="23"/>
      <c r="F17" s="23"/>
      <c r="G17" s="23"/>
      <c r="H17" s="23"/>
      <c r="I17" s="14"/>
    </row>
    <row r="18" spans="2:9" ht="15.75" x14ac:dyDescent="0.25">
      <c r="B18" s="12"/>
      <c r="C18" s="26"/>
      <c r="D18" s="30"/>
      <c r="E18" s="26" t="s">
        <v>29</v>
      </c>
      <c r="F18" s="90">
        <f ca="1">TODAY()</f>
        <v>46042</v>
      </c>
      <c r="G18" s="90"/>
      <c r="H18" s="29">
        <f ca="1">IF(MONTH(F18)&lt;4,YEAR(F18),YEAR(F18)+1)</f>
        <v>2026</v>
      </c>
      <c r="I18" s="14"/>
    </row>
    <row r="19" spans="2:9" ht="15.75" x14ac:dyDescent="0.25">
      <c r="B19" s="12"/>
      <c r="C19" s="24"/>
      <c r="D19" s="30"/>
      <c r="E19" s="30"/>
      <c r="F19" s="30"/>
      <c r="G19" s="30"/>
      <c r="H19" s="30"/>
      <c r="I19" s="14"/>
    </row>
    <row r="20" spans="2:9" ht="16.5" thickBot="1" x14ac:dyDescent="0.3">
      <c r="B20" s="12"/>
      <c r="C20" s="30"/>
      <c r="D20" s="30"/>
      <c r="E20" s="26" t="s">
        <v>10</v>
      </c>
      <c r="F20" s="26" t="s">
        <v>11</v>
      </c>
      <c r="G20" s="26" t="s">
        <v>12</v>
      </c>
      <c r="H20" s="30"/>
      <c r="I20" s="14"/>
    </row>
    <row r="21" spans="2:9" ht="16.5" thickBot="1" x14ac:dyDescent="0.3">
      <c r="B21" s="12"/>
      <c r="C21" s="61" t="s">
        <v>25</v>
      </c>
      <c r="D21" s="30"/>
      <c r="E21" s="36">
        <f>Collective_total_withs</f>
        <v>0</v>
      </c>
      <c r="F21" s="36">
        <f>offbond_withs</f>
        <v>0</v>
      </c>
      <c r="G21" s="36">
        <f ca="1">onbond_total_withs</f>
        <v>0</v>
      </c>
      <c r="H21" s="30"/>
      <c r="I21" s="14"/>
    </row>
    <row r="22" spans="2:9" ht="16.5" thickBot="1" x14ac:dyDescent="0.3">
      <c r="B22" s="12"/>
      <c r="C22" s="61" t="s">
        <v>80</v>
      </c>
      <c r="D22" s="30"/>
      <c r="E22" s="36">
        <v>0</v>
      </c>
      <c r="F22" s="36">
        <f>Offbond_total_tax</f>
        <v>0</v>
      </c>
      <c r="G22" s="36">
        <f ca="1">Onbond_total_tax</f>
        <v>0</v>
      </c>
      <c r="H22" s="30"/>
      <c r="I22" s="14"/>
    </row>
    <row r="23" spans="2:9" ht="16.5" thickBot="1" x14ac:dyDescent="0.3">
      <c r="B23" s="12"/>
      <c r="C23" s="61" t="s">
        <v>9</v>
      </c>
      <c r="D23" s="30"/>
      <c r="E23" s="36">
        <f ca="1">Collective_total_tax</f>
        <v>0</v>
      </c>
      <c r="F23" s="36">
        <f ca="1">offbond_with_tax</f>
        <v>0</v>
      </c>
      <c r="G23" s="36">
        <f ca="1">Onbond_with_tax</f>
        <v>0</v>
      </c>
      <c r="H23" s="30"/>
      <c r="I23" s="14"/>
    </row>
    <row r="24" spans="2:9" ht="16.5" thickBot="1" x14ac:dyDescent="0.3">
      <c r="B24" s="12"/>
      <c r="C24" s="61" t="s">
        <v>81</v>
      </c>
      <c r="D24" s="30"/>
      <c r="E24" s="36">
        <f ca="1">E22+E23</f>
        <v>0</v>
      </c>
      <c r="F24" s="36">
        <f ca="1">F22+F23</f>
        <v>0</v>
      </c>
      <c r="G24" s="36">
        <f ca="1">G22+G23</f>
        <v>0</v>
      </c>
      <c r="H24" s="30"/>
      <c r="I24" s="14"/>
    </row>
    <row r="25" spans="2:9" ht="16.5" thickBot="1" x14ac:dyDescent="0.3">
      <c r="B25" s="12"/>
      <c r="C25" s="61" t="s">
        <v>24</v>
      </c>
      <c r="D25" s="30"/>
      <c r="E25" s="36">
        <f>Collective_clsg</f>
        <v>100000</v>
      </c>
      <c r="F25" s="36">
        <f>offbond_clsg</f>
        <v>100000</v>
      </c>
      <c r="G25" s="36">
        <f ca="1">onbond_clsg</f>
        <v>100000</v>
      </c>
      <c r="H25" s="30"/>
      <c r="I25" s="14"/>
    </row>
    <row r="26" spans="2:9" ht="16.5" thickBot="1" x14ac:dyDescent="0.3">
      <c r="B26" s="12"/>
      <c r="C26" s="61" t="s">
        <v>21</v>
      </c>
      <c r="D26" s="30"/>
      <c r="E26" s="36">
        <f ca="1">ROUNDDOWN(MAX(Collective_finalyr_gain-(Collective_final_yr_AEA-Collective_final_yr_gain_realised),0)*Expected_CGT,0)</f>
        <v>0</v>
      </c>
      <c r="F26" s="36">
        <f ca="1">IF(Expected_IT=0,IF(offshore_gain&lt;(tapered_PA+Starting_rate+PSA_final_yr),offshore_gain*IF(H27&gt;2027,Future_exp_IT,Expected_IT),ROUNDDOWN((offshore_gain-(tapered_PA+Starting_rate+PSA_final_yr))*IF(H27&gt;2027,Future_exp_IT,Expected_IT),0)),ROUNDDOWN((offshore_gain)*IF(H27&gt;2027,Future_exp_IT,Expected_IT),0))</f>
        <v>0</v>
      </c>
      <c r="G26" s="36">
        <f ca="1">IF(OR(Expected_IT=0,Expected_IT=0.2),onshore_gain*Onbond_Non_BR,IF(Expected_IT=0.4,onshore_gain*Onbond_HR,IF(Expected_IT=0.45,onshore_gain*Onbond_AR,0)))</f>
        <v>0</v>
      </c>
      <c r="H26" s="30"/>
      <c r="I26" s="14"/>
    </row>
    <row r="27" spans="2:9" ht="16.5" thickBot="1" x14ac:dyDescent="0.3">
      <c r="B27" s="12"/>
      <c r="C27" s="61" t="s">
        <v>22</v>
      </c>
      <c r="D27" s="30"/>
      <c r="E27" s="66">
        <f ca="1">MAX(E25-E26-E23,0)</f>
        <v>100000</v>
      </c>
      <c r="F27" s="66">
        <f ca="1">MAX(F25-F26-F23,0)</f>
        <v>100000</v>
      </c>
      <c r="G27" s="66">
        <f ca="1">MAX(G25-G26-G23,0)</f>
        <v>100000</v>
      </c>
      <c r="H27" s="68" cm="1">
        <f t="array" aca="1" ref="H27" ca="1">LOOKUP(2,1/(Breakdown!A10:A29&lt;&gt;""),Breakdown!A10:A29)</f>
        <v>2036</v>
      </c>
      <c r="I27" s="84"/>
    </row>
    <row r="28" spans="2:9" ht="15.75" thickBot="1" x14ac:dyDescent="0.3">
      <c r="B28" s="12"/>
      <c r="C28" s="61" t="s">
        <v>101</v>
      </c>
      <c r="D28" s="22"/>
      <c r="E28" s="67">
        <f ca="1">((E27+Collective_total_withs)/initial_investment)^(1/Term)-1</f>
        <v>0</v>
      </c>
      <c r="F28" s="67">
        <f ca="1">((F27+offbond_withs)/initial_investment)^(1/Term)-1</f>
        <v>0</v>
      </c>
      <c r="G28" s="67">
        <f ca="1">((G27+onbond_total_withs)/initial_investment)^(1/Term)-1</f>
        <v>0</v>
      </c>
      <c r="H28" s="22"/>
      <c r="I28" s="85"/>
    </row>
    <row r="29" spans="2:9" x14ac:dyDescent="0.25">
      <c r="B29" s="12"/>
      <c r="I29" s="14"/>
    </row>
    <row r="30" spans="2:9" x14ac:dyDescent="0.25">
      <c r="B30" s="12"/>
      <c r="I30" s="14"/>
    </row>
    <row r="31" spans="2:9" ht="15.75" thickBot="1" x14ac:dyDescent="0.3">
      <c r="B31" s="15"/>
      <c r="C31" s="16"/>
      <c r="D31" s="16"/>
      <c r="E31" s="16"/>
      <c r="F31" s="16"/>
      <c r="G31" s="16"/>
      <c r="H31" s="16"/>
      <c r="I31" s="17"/>
    </row>
    <row r="32" spans="2:9" ht="15.75" thickTop="1" x14ac:dyDescent="0.25"/>
    <row r="33" spans="2:9" x14ac:dyDescent="0.25"/>
    <row r="34" spans="2:9" ht="69" customHeight="1" x14ac:dyDescent="0.25">
      <c r="B34" s="89" t="s">
        <v>112</v>
      </c>
      <c r="C34" s="89"/>
      <c r="D34" s="89"/>
      <c r="E34" s="89"/>
      <c r="F34" s="89"/>
      <c r="G34" s="89"/>
      <c r="H34" s="89"/>
      <c r="I34" s="89"/>
    </row>
    <row r="35" spans="2:9" ht="40.5" customHeight="1" x14ac:dyDescent="0.25">
      <c r="B35" s="86" t="s">
        <v>105</v>
      </c>
      <c r="C35" s="86"/>
      <c r="D35" s="86"/>
      <c r="E35" s="86"/>
      <c r="F35" s="86"/>
      <c r="G35" s="86"/>
      <c r="H35" s="86"/>
      <c r="I35" s="86"/>
    </row>
    <row r="36" spans="2:9" ht="33.75" customHeight="1" x14ac:dyDescent="0.25">
      <c r="B36" s="86" t="s">
        <v>50</v>
      </c>
      <c r="C36" s="86"/>
      <c r="D36" s="86"/>
      <c r="E36" s="86"/>
      <c r="F36" s="86"/>
      <c r="G36" s="86"/>
      <c r="H36" s="86"/>
      <c r="I36" s="86"/>
    </row>
    <row r="37" spans="2:9" ht="39.75" customHeight="1" x14ac:dyDescent="0.25">
      <c r="B37" s="89" t="s">
        <v>113</v>
      </c>
      <c r="C37" s="89"/>
      <c r="D37" s="89"/>
      <c r="E37" s="89"/>
      <c r="F37" s="89"/>
      <c r="G37" s="89"/>
      <c r="H37" s="89"/>
      <c r="I37" s="89"/>
    </row>
    <row r="38" spans="2:9" ht="21.75" customHeight="1" x14ac:dyDescent="0.25">
      <c r="B38" s="86" t="s">
        <v>51</v>
      </c>
      <c r="C38" s="86"/>
      <c r="D38" s="86"/>
      <c r="E38" s="86"/>
      <c r="F38" s="86"/>
      <c r="G38" s="86"/>
      <c r="H38" s="86"/>
      <c r="I38" s="86"/>
    </row>
    <row r="39" spans="2:9" ht="60" customHeight="1" x14ac:dyDescent="0.25">
      <c r="B39" s="86" t="s">
        <v>52</v>
      </c>
      <c r="C39" s="86"/>
      <c r="D39" s="86"/>
      <c r="E39" s="86"/>
      <c r="F39" s="86"/>
      <c r="G39" s="86"/>
      <c r="H39" s="86"/>
      <c r="I39" s="86"/>
    </row>
    <row r="40" spans="2:9" ht="35.25" customHeight="1" x14ac:dyDescent="0.25">
      <c r="B40" s="87" t="s">
        <v>53</v>
      </c>
      <c r="C40" s="87"/>
      <c r="D40" s="87"/>
      <c r="E40" s="87"/>
      <c r="F40" s="87"/>
      <c r="G40" s="87"/>
      <c r="H40" s="87"/>
      <c r="I40" s="87"/>
    </row>
    <row r="41" spans="2:9" ht="22.5" customHeight="1" x14ac:dyDescent="0.25">
      <c r="B41" s="87" t="s">
        <v>54</v>
      </c>
      <c r="C41" s="87"/>
      <c r="D41" s="87"/>
      <c r="E41" s="87"/>
      <c r="F41" s="87"/>
      <c r="G41" s="87"/>
      <c r="H41" s="87"/>
      <c r="I41" s="87"/>
    </row>
    <row r="42" spans="2:9" ht="26.25" customHeight="1" x14ac:dyDescent="0.25">
      <c r="B42" s="87" t="s">
        <v>114</v>
      </c>
      <c r="C42" s="87"/>
      <c r="D42" s="87"/>
      <c r="E42" s="87"/>
      <c r="F42" s="87"/>
      <c r="G42" s="87"/>
      <c r="H42" s="87"/>
      <c r="I42" s="87"/>
    </row>
    <row r="49" spans="4:6" x14ac:dyDescent="0.25"/>
    <row r="60" spans="4:6" hidden="1" x14ac:dyDescent="0.25">
      <c r="D60">
        <v>1</v>
      </c>
      <c r="F60" s="3">
        <v>0</v>
      </c>
    </row>
    <row r="61" spans="4:6" hidden="1" x14ac:dyDescent="0.25">
      <c r="D61">
        <v>2</v>
      </c>
      <c r="F61" s="3">
        <v>2.5000000000000001E-3</v>
      </c>
    </row>
    <row r="62" spans="4:6" hidden="1" x14ac:dyDescent="0.25">
      <c r="D62">
        <v>3</v>
      </c>
      <c r="F62" s="3">
        <v>5.0000000000000001E-3</v>
      </c>
    </row>
    <row r="63" spans="4:6" hidden="1" x14ac:dyDescent="0.25">
      <c r="D63">
        <v>4</v>
      </c>
      <c r="F63" s="3">
        <v>7.4999999999999997E-3</v>
      </c>
    </row>
    <row r="64" spans="4:6" hidden="1" x14ac:dyDescent="0.25">
      <c r="D64">
        <v>5</v>
      </c>
      <c r="F64" s="3">
        <v>0.01</v>
      </c>
    </row>
    <row r="65" spans="4:6" hidden="1" x14ac:dyDescent="0.25">
      <c r="D65">
        <v>6</v>
      </c>
      <c r="F65" s="3">
        <v>1.2500000000000001E-2</v>
      </c>
    </row>
    <row r="66" spans="4:6" hidden="1" x14ac:dyDescent="0.25">
      <c r="D66">
        <v>7</v>
      </c>
      <c r="F66" s="3">
        <v>1.4999999999999999E-2</v>
      </c>
    </row>
    <row r="67" spans="4:6" hidden="1" x14ac:dyDescent="0.25">
      <c r="D67">
        <v>8</v>
      </c>
      <c r="F67" s="3">
        <v>1.7500000000000002E-2</v>
      </c>
    </row>
    <row r="68" spans="4:6" hidden="1" x14ac:dyDescent="0.25">
      <c r="D68">
        <v>9</v>
      </c>
      <c r="F68" s="3">
        <v>0.02</v>
      </c>
    </row>
    <row r="69" spans="4:6" hidden="1" x14ac:dyDescent="0.25">
      <c r="D69">
        <v>10</v>
      </c>
      <c r="F69" s="3">
        <v>2.2499999999999999E-2</v>
      </c>
    </row>
    <row r="70" spans="4:6" hidden="1" x14ac:dyDescent="0.25">
      <c r="D70">
        <v>11</v>
      </c>
      <c r="F70" s="3">
        <v>2.5000000000000001E-2</v>
      </c>
    </row>
    <row r="71" spans="4:6" hidden="1" x14ac:dyDescent="0.25">
      <c r="D71">
        <v>12</v>
      </c>
      <c r="F71" s="3">
        <v>2.75E-2</v>
      </c>
    </row>
    <row r="72" spans="4:6" hidden="1" x14ac:dyDescent="0.25">
      <c r="D72">
        <v>13</v>
      </c>
      <c r="F72" s="3">
        <v>0.03</v>
      </c>
    </row>
    <row r="73" spans="4:6" hidden="1" x14ac:dyDescent="0.25">
      <c r="D73">
        <v>14</v>
      </c>
      <c r="F73" s="3">
        <v>3.2500000000000001E-2</v>
      </c>
    </row>
    <row r="74" spans="4:6" hidden="1" x14ac:dyDescent="0.25">
      <c r="D74">
        <v>15</v>
      </c>
      <c r="F74" s="3">
        <v>3.5000000000000003E-2</v>
      </c>
    </row>
    <row r="75" spans="4:6" hidden="1" x14ac:dyDescent="0.25">
      <c r="D75">
        <v>16</v>
      </c>
      <c r="F75" s="3">
        <v>3.7499999999999999E-2</v>
      </c>
    </row>
    <row r="76" spans="4:6" hidden="1" x14ac:dyDescent="0.25">
      <c r="D76">
        <v>17</v>
      </c>
      <c r="F76" s="3">
        <v>0.04</v>
      </c>
    </row>
    <row r="77" spans="4:6" hidden="1" x14ac:dyDescent="0.25">
      <c r="D77">
        <v>18</v>
      </c>
      <c r="F77" s="3">
        <v>4.2500000000000003E-2</v>
      </c>
    </row>
    <row r="78" spans="4:6" hidden="1" x14ac:dyDescent="0.25">
      <c r="D78">
        <v>19</v>
      </c>
      <c r="F78" s="3">
        <v>4.4999999999999998E-2</v>
      </c>
    </row>
    <row r="79" spans="4:6" hidden="1" x14ac:dyDescent="0.25">
      <c r="D79">
        <v>20</v>
      </c>
      <c r="F79" s="3">
        <v>4.7500000000000001E-2</v>
      </c>
    </row>
    <row r="80" spans="4:6" hidden="1" x14ac:dyDescent="0.25">
      <c r="D80">
        <v>21</v>
      </c>
      <c r="F80" s="3">
        <v>0.05</v>
      </c>
    </row>
    <row r="81" spans="4:6" hidden="1" x14ac:dyDescent="0.25">
      <c r="D81">
        <v>22</v>
      </c>
      <c r="F81" s="3"/>
    </row>
    <row r="82" spans="4:6" hidden="1" x14ac:dyDescent="0.25">
      <c r="D82">
        <v>23</v>
      </c>
      <c r="F82" s="3"/>
    </row>
    <row r="83" spans="4:6" hidden="1" x14ac:dyDescent="0.25">
      <c r="D83">
        <v>24</v>
      </c>
      <c r="F83" s="3"/>
    </row>
    <row r="84" spans="4:6" hidden="1" x14ac:dyDescent="0.25">
      <c r="D84">
        <v>25</v>
      </c>
    </row>
    <row r="85" spans="4:6" hidden="1" x14ac:dyDescent="0.25">
      <c r="D85">
        <v>26</v>
      </c>
    </row>
    <row r="86" spans="4:6" hidden="1" x14ac:dyDescent="0.25">
      <c r="D86">
        <v>27</v>
      </c>
    </row>
    <row r="87" spans="4:6" hidden="1" x14ac:dyDescent="0.25">
      <c r="D87">
        <v>28</v>
      </c>
    </row>
    <row r="88" spans="4:6" hidden="1" x14ac:dyDescent="0.25">
      <c r="D88">
        <v>29</v>
      </c>
    </row>
    <row r="89" spans="4:6" hidden="1" x14ac:dyDescent="0.25">
      <c r="D89">
        <v>30</v>
      </c>
    </row>
    <row r="90" spans="4:6" hidden="1" x14ac:dyDescent="0.25">
      <c r="D90">
        <v>31</v>
      </c>
    </row>
    <row r="91" spans="4:6" hidden="1" x14ac:dyDescent="0.25">
      <c r="D91">
        <v>32</v>
      </c>
    </row>
    <row r="92" spans="4:6" hidden="1" x14ac:dyDescent="0.25">
      <c r="D92">
        <v>33</v>
      </c>
    </row>
    <row r="93" spans="4:6" hidden="1" x14ac:dyDescent="0.25">
      <c r="D93">
        <v>34</v>
      </c>
    </row>
    <row r="94" spans="4:6" hidden="1" x14ac:dyDescent="0.25">
      <c r="D94">
        <v>35</v>
      </c>
    </row>
    <row r="95" spans="4:6" hidden="1" x14ac:dyDescent="0.25">
      <c r="D95">
        <v>36</v>
      </c>
    </row>
    <row r="96" spans="4:6" hidden="1" x14ac:dyDescent="0.25">
      <c r="D96">
        <v>37</v>
      </c>
    </row>
    <row r="97" spans="4:4" hidden="1" x14ac:dyDescent="0.25">
      <c r="D97">
        <v>38</v>
      </c>
    </row>
    <row r="98" spans="4:4" hidden="1" x14ac:dyDescent="0.25">
      <c r="D98">
        <v>39</v>
      </c>
    </row>
    <row r="99" spans="4:4" hidden="1" x14ac:dyDescent="0.25">
      <c r="D99">
        <v>40</v>
      </c>
    </row>
    <row r="100" spans="4:4" hidden="1" x14ac:dyDescent="0.25">
      <c r="D100">
        <v>41</v>
      </c>
    </row>
    <row r="101" spans="4:4" hidden="1" x14ac:dyDescent="0.25">
      <c r="D101">
        <v>42</v>
      </c>
    </row>
    <row r="102" spans="4:4" hidden="1" x14ac:dyDescent="0.25">
      <c r="D102">
        <v>43</v>
      </c>
    </row>
    <row r="103" spans="4:4" hidden="1" x14ac:dyDescent="0.25">
      <c r="D103">
        <v>44</v>
      </c>
    </row>
    <row r="104" spans="4:4" hidden="1" x14ac:dyDescent="0.25">
      <c r="D104">
        <v>45</v>
      </c>
    </row>
    <row r="105" spans="4:4" hidden="1" x14ac:dyDescent="0.25">
      <c r="D105">
        <v>46</v>
      </c>
    </row>
    <row r="106" spans="4:4" hidden="1" x14ac:dyDescent="0.25">
      <c r="D106">
        <v>47</v>
      </c>
    </row>
    <row r="107" spans="4:4" hidden="1" x14ac:dyDescent="0.25">
      <c r="D107">
        <v>48</v>
      </c>
    </row>
    <row r="108" spans="4:4" hidden="1" x14ac:dyDescent="0.25">
      <c r="D108">
        <v>49</v>
      </c>
    </row>
    <row r="109" spans="4:4" hidden="1" x14ac:dyDescent="0.25">
      <c r="D109">
        <v>50</v>
      </c>
    </row>
    <row r="110" spans="4:4" hidden="1" x14ac:dyDescent="0.25">
      <c r="D110" t="s">
        <v>15</v>
      </c>
    </row>
    <row r="111" spans="4:4" hidden="1" x14ac:dyDescent="0.25">
      <c r="D111" t="s">
        <v>16</v>
      </c>
    </row>
    <row r="150" spans="4:4" hidden="1" x14ac:dyDescent="0.25">
      <c r="D150" s="2">
        <v>0</v>
      </c>
    </row>
    <row r="151" spans="4:4" hidden="1" x14ac:dyDescent="0.25">
      <c r="D151" s="2">
        <v>0.2</v>
      </c>
    </row>
    <row r="152" spans="4:4" hidden="1" x14ac:dyDescent="0.25">
      <c r="D152" s="2">
        <v>0.4</v>
      </c>
    </row>
    <row r="153" spans="4:4" hidden="1" x14ac:dyDescent="0.25">
      <c r="D153" s="2">
        <v>0.45</v>
      </c>
    </row>
  </sheetData>
  <sheetProtection algorithmName="SHA-512" hashValue="RmKGghedQpWj08/A9VNVQnlzwcD0J1vjpdNJTsXlOXucN45QrteqQnt1hLU4lZPlvfSVaK8tED7RNQDOxwXU6g==" saltValue="fCbPBv8QouWRY37UpBq91A==" spinCount="100000" sheet="1" selectLockedCells="1"/>
  <mergeCells count="11">
    <mergeCell ref="B38:I38"/>
    <mergeCell ref="B39:I39"/>
    <mergeCell ref="B40:I40"/>
    <mergeCell ref="B42:I42"/>
    <mergeCell ref="C4:E4"/>
    <mergeCell ref="B34:I34"/>
    <mergeCell ref="B35:I35"/>
    <mergeCell ref="B37:I37"/>
    <mergeCell ref="F18:G18"/>
    <mergeCell ref="B41:I41"/>
    <mergeCell ref="B36:I36"/>
  </mergeCells>
  <dataValidations count="8">
    <dataValidation type="list" allowBlank="1" showInputMessage="1" showErrorMessage="1" sqref="D14 H15" xr:uid="{00000000-0002-0000-0000-000000000000}">
      <formula1>Type_TP</formula1>
    </dataValidation>
    <dataValidation type="decimal" operator="lessThanOrEqual" allowBlank="1" showInputMessage="1" showErrorMessage="1" sqref="D10" xr:uid="{00000000-0002-0000-0000-000001000000}">
      <formula1>D8</formula1>
    </dataValidation>
    <dataValidation type="decimal" operator="lessThanOrEqual" allowBlank="1" showInputMessage="1" showErrorMessage="1" sqref="D11" xr:uid="{00000000-0002-0000-0000-000002000000}">
      <formula1>D8-D10</formula1>
    </dataValidation>
    <dataValidation type="list" allowBlank="1" showInputMessage="1" showErrorMessage="1" sqref="D15" xr:uid="{00000000-0002-0000-0000-000003000000}">
      <formula1>$D$60:$D$79</formula1>
    </dataValidation>
    <dataValidation type="decimal" allowBlank="1" showInputMessage="1" showErrorMessage="1" errorTitle="Adjust withdrawal" error="Withdrawal entered is higher than initial investment amount" sqref="D13" xr:uid="{00000000-0002-0000-0000-000005000000}">
      <formula1>0</formula1>
      <formula2>initial_investment</formula2>
    </dataValidation>
    <dataValidation type="decimal" allowBlank="1" showErrorMessage="1" errorTitle="Invalid data item" error="Please enter a % return between 0% and 7%" promptTitle="Enter a % return net of charges" prompt="A value of 0% to 7% can be entered" sqref="D8" xr:uid="{0DBB6CDB-7BB6-4520-938B-6134B18BBCD7}">
      <formula1>0</formula1>
      <formula2>0.07</formula2>
    </dataValidation>
    <dataValidation type="list" allowBlank="1" showInputMessage="1" showErrorMessage="1" sqref="H11:H13" xr:uid="{310A22A9-6385-41DA-99FD-2409D3C2262D}">
      <formula1>Allowance_used</formula1>
    </dataValidation>
    <dataValidation type="list" allowBlank="1" showInputMessage="1" showErrorMessage="1" sqref="H16" xr:uid="{E848D227-BF1F-49E2-B2ED-2966A09DE042}">
      <formula1>CGT_Y_N</formula1>
    </dataValidation>
  </dataValidations>
  <pageMargins left="0.7" right="0.7" top="0.75" bottom="0.75" header="0.3" footer="0.3"/>
  <pageSetup scale="55" orientation="portrait" r:id="rId1"/>
  <headerFooter>
    <oddFooter>&amp;C&amp;"Calibri"&amp;11&amp;K000000&amp;"Arial,Regular"&amp;10&amp;K000000</oddFooter>
    <evenFooter>&amp;C&amp;"Arial,Regular"&amp;10&amp;K000000INTERNAL USE ONLY</evenFooter>
    <firstFooter>&amp;C&amp;"Arial,Regular"&amp;10&amp;K000000INTERNAL USE ONLY</firstFooter>
  </headerFooter>
  <colBreaks count="1" manualBreakCount="1">
    <brk id="10" max="4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BBB18-9060-4CC2-A575-9A86B8B8D900}">
  <sheetPr>
    <pageSetUpPr fitToPage="1"/>
  </sheetPr>
  <dimension ref="A1:W86"/>
  <sheetViews>
    <sheetView showGridLines="0" showRowColHeaders="0" zoomScale="80" zoomScaleNormal="80" workbookViewId="0"/>
  </sheetViews>
  <sheetFormatPr defaultColWidth="0" defaultRowHeight="15" zeroHeight="1" x14ac:dyDescent="0.25"/>
  <cols>
    <col min="1" max="1" width="10.140625" bestFit="1" customWidth="1"/>
    <col min="2" max="7" width="14.7109375" customWidth="1"/>
    <col min="8" max="8" width="15.7109375" customWidth="1"/>
    <col min="9" max="22" width="14.7109375" customWidth="1"/>
    <col min="23" max="23" width="9.140625" customWidth="1"/>
    <col min="24" max="16384" width="9.140625" hidden="1"/>
  </cols>
  <sheetData>
    <row r="1" spans="1:22" x14ac:dyDescent="0.25"/>
    <row r="2" spans="1:22" ht="15.75" thickBot="1" x14ac:dyDescent="0.3"/>
    <row r="3" spans="1:22" ht="15.75" thickTop="1" x14ac:dyDescent="0.25">
      <c r="B3" s="19"/>
      <c r="C3" s="8"/>
      <c r="D3" s="8"/>
      <c r="E3" s="8"/>
      <c r="F3" s="8"/>
      <c r="G3" s="8"/>
      <c r="H3" s="8"/>
      <c r="I3" s="8"/>
      <c r="J3" s="8"/>
      <c r="K3" s="8"/>
      <c r="L3" s="8"/>
      <c r="M3" s="8"/>
      <c r="N3" s="8"/>
      <c r="O3" s="8"/>
      <c r="P3" s="8"/>
      <c r="Q3" s="8"/>
      <c r="R3" s="8"/>
      <c r="S3" s="8"/>
      <c r="T3" s="8"/>
      <c r="U3" s="8"/>
      <c r="V3" s="20"/>
    </row>
    <row r="4" spans="1:22" x14ac:dyDescent="0.25">
      <c r="B4" s="12"/>
      <c r="V4" s="14"/>
    </row>
    <row r="5" spans="1:22" ht="15.75" x14ac:dyDescent="0.25">
      <c r="B5" s="12"/>
      <c r="D5" s="92" t="s">
        <v>70</v>
      </c>
      <c r="E5" s="92"/>
      <c r="F5" s="92"/>
      <c r="G5" s="92"/>
      <c r="O5" s="74"/>
      <c r="V5" s="14"/>
    </row>
    <row r="6" spans="1:22" x14ac:dyDescent="0.25">
      <c r="B6" s="12"/>
      <c r="V6" s="14"/>
    </row>
    <row r="7" spans="1:22" x14ac:dyDescent="0.25">
      <c r="B7" s="12"/>
      <c r="C7" s="58" t="s">
        <v>73</v>
      </c>
      <c r="V7" s="14"/>
    </row>
    <row r="8" spans="1:22" x14ac:dyDescent="0.25">
      <c r="B8" s="12"/>
      <c r="C8" s="48"/>
      <c r="V8" s="14"/>
    </row>
    <row r="9" spans="1:22" x14ac:dyDescent="0.25">
      <c r="B9" s="12"/>
      <c r="C9" s="44" t="s">
        <v>59</v>
      </c>
      <c r="D9" s="44" t="s">
        <v>60</v>
      </c>
      <c r="E9" s="44" t="s">
        <v>20</v>
      </c>
      <c r="F9" s="44" t="s">
        <v>61</v>
      </c>
      <c r="G9" s="44" t="s">
        <v>17</v>
      </c>
      <c r="H9" s="44" t="s">
        <v>18</v>
      </c>
      <c r="I9" s="44" t="s">
        <v>62</v>
      </c>
      <c r="J9" s="44" t="s">
        <v>63</v>
      </c>
      <c r="K9" s="44" t="s">
        <v>64</v>
      </c>
      <c r="L9" s="44" t="s">
        <v>65</v>
      </c>
      <c r="M9" s="44" t="s">
        <v>66</v>
      </c>
      <c r="N9" s="44" t="s">
        <v>28</v>
      </c>
      <c r="O9" s="44" t="s">
        <v>99</v>
      </c>
      <c r="P9" s="44" t="s">
        <v>67</v>
      </c>
      <c r="Q9" s="44" t="s">
        <v>68</v>
      </c>
      <c r="R9" s="44" t="s">
        <v>98</v>
      </c>
      <c r="S9" s="44" t="s">
        <v>69</v>
      </c>
      <c r="T9" s="44" t="s">
        <v>97</v>
      </c>
      <c r="V9" s="14"/>
    </row>
    <row r="10" spans="1:22" x14ac:dyDescent="0.25">
      <c r="A10" s="45">
        <f t="shared" ref="A10:A29" ca="1" si="0">IFERROR(Current_tax_yr+C10,"")</f>
        <v>2027</v>
      </c>
      <c r="B10" s="53">
        <f>initial_investment</f>
        <v>100000</v>
      </c>
      <c r="C10" s="46">
        <f t="shared" ref="C10:C29" si="1">IF(U10&lt;=Term,U10,"")</f>
        <v>1</v>
      </c>
      <c r="D10" s="50">
        <f>initial_investment</f>
        <v>100000</v>
      </c>
      <c r="E10" s="50">
        <f t="shared" ref="E10:E29" si="2">IFERROR(D10*Cap_return,"")</f>
        <v>0</v>
      </c>
      <c r="F10" s="50">
        <f ca="1">IF(C10="","",VLOOKUP(A10,Allowances!A:B,2,FALSE)*(1-CGT_used))</f>
        <v>3000</v>
      </c>
      <c r="G10" s="50">
        <f t="shared" ref="G10:G29" si="3">IF(C10="","",IF(Withdrawal_amnt&lt;=D10+E10+M10+P10,Withdrawal_amnt,0))</f>
        <v>0</v>
      </c>
      <c r="H10" s="64">
        <f t="shared" ref="H10:H29" si="4">IF(C10="","",IFERROR(MAX(G10-(G10*(B10+M10+P10)/(D10*(1+Total_annual_return))),0),0))</f>
        <v>0</v>
      </c>
      <c r="I10" s="50">
        <f t="shared" ref="I10:I29" ca="1" si="5">IF(C10="","",MAX((H10-F10),0)*Current_CGT)</f>
        <v>0</v>
      </c>
      <c r="J10" s="50">
        <f>IF(C10="","",MAX(E10-H10,0))</f>
        <v>0</v>
      </c>
      <c r="K10" s="64">
        <f t="shared" ref="K10:K29" ca="1" si="6">IF(C10="","",IF(C11="",0,IF(AEA_used="No",0,MIN(J10,MAX(F10-H10,0)))))</f>
        <v>0</v>
      </c>
      <c r="L10" s="50">
        <f ca="1">IF(C10="","",MAX(J10-K10,0))</f>
        <v>0</v>
      </c>
      <c r="M10" s="50">
        <f t="shared" ref="M10:M29" si="7">IF(C10="","",D10*Int_return)</f>
        <v>0</v>
      </c>
      <c r="N10" s="50">
        <f ca="1">IF(C10="","",VLOOKUP(A10,Allowances!A:D,4,FALSE)*(IF(OR(Current_IT=0,Current_IT=0.2),1,IF(Current_IT=0.4,0.5,0))*(1-PSA_used)))</f>
        <v>1000</v>
      </c>
      <c r="O10" s="50">
        <f t="shared" ref="O10:O29" ca="1" si="8">IF(C10="","",MAX((M10-N10),0)*IF(A10&gt;2027,Future_IT,Current_IT))</f>
        <v>0</v>
      </c>
      <c r="P10" s="50">
        <f t="shared" ref="P10:P29" si="9">IF(C10="","",D10*Div_return)</f>
        <v>0</v>
      </c>
      <c r="Q10" s="50">
        <f ca="1">IF(C10="","",VLOOKUP(A10,Allowances!A:D,3,FALSE)*(1-Div_used))</f>
        <v>500</v>
      </c>
      <c r="R10" s="50">
        <f t="shared" ref="R10:R29" ca="1" si="10">IF(C10="","",MAX((P10-Q10),0)*Current_Div)</f>
        <v>0</v>
      </c>
      <c r="S10" s="50">
        <f ca="1">IF(C10="","",SUM(I10+O10+R10))</f>
        <v>0</v>
      </c>
      <c r="T10" s="64">
        <f t="shared" ref="T10:T29" si="11">IFERROR(MAX(0,D10*(1+Total_annual_return)-G10),"")</f>
        <v>100000</v>
      </c>
      <c r="U10" s="45">
        <v>1</v>
      </c>
      <c r="V10" s="55"/>
    </row>
    <row r="11" spans="1:22" x14ac:dyDescent="0.25">
      <c r="A11" s="45">
        <f t="shared" ca="1" si="0"/>
        <v>2028</v>
      </c>
      <c r="B11" s="54">
        <f ca="1">MAX(B10-(G10-H10)+M10+P10+K10,0)</f>
        <v>100000</v>
      </c>
      <c r="C11" s="46">
        <f t="shared" si="1"/>
        <v>2</v>
      </c>
      <c r="D11" s="50">
        <f>IF(C11="","",T10)</f>
        <v>100000</v>
      </c>
      <c r="E11" s="50">
        <f t="shared" si="2"/>
        <v>0</v>
      </c>
      <c r="F11" s="50">
        <f ca="1">IF(C11="","",VLOOKUP(A11,Allowances!A:B,2,FALSE)*(1-CGT_used))</f>
        <v>3000</v>
      </c>
      <c r="G11" s="50">
        <f t="shared" si="3"/>
        <v>0</v>
      </c>
      <c r="H11" s="64">
        <f t="shared" ca="1" si="4"/>
        <v>0</v>
      </c>
      <c r="I11" s="50">
        <f t="shared" ca="1" si="5"/>
        <v>0</v>
      </c>
      <c r="J11" s="50">
        <f ca="1">IF(C11="","",MAX(E11-H11+L10,0))</f>
        <v>0</v>
      </c>
      <c r="K11" s="64">
        <f t="shared" ca="1" si="6"/>
        <v>0</v>
      </c>
      <c r="L11" s="50">
        <f t="shared" ref="L11:L29" ca="1" si="12">IF(C11="","",MAX(J11-K11,0))</f>
        <v>0</v>
      </c>
      <c r="M11" s="50">
        <f t="shared" si="7"/>
        <v>0</v>
      </c>
      <c r="N11" s="50">
        <f ca="1">IF(C11="","",VLOOKUP(A11,Allowances!A:D,4,FALSE)*(IF(OR(Current_IT=0,Current_IT=0.2),1,IF(Current_IT=0.4,0.5,0))*(1-PSA_used)))</f>
        <v>1000</v>
      </c>
      <c r="O11" s="50">
        <f t="shared" ca="1" si="8"/>
        <v>0</v>
      </c>
      <c r="P11" s="50">
        <f t="shared" si="9"/>
        <v>0</v>
      </c>
      <c r="Q11" s="50">
        <f ca="1">IF(C11="","",VLOOKUP(A11,Allowances!A:D,3,FALSE)*(1-Div_used))</f>
        <v>500</v>
      </c>
      <c r="R11" s="50">
        <f t="shared" ca="1" si="10"/>
        <v>0</v>
      </c>
      <c r="S11" s="50">
        <f t="shared" ref="S11:S29" ca="1" si="13">IF(C11="","",SUM(I11+O11+R11))</f>
        <v>0</v>
      </c>
      <c r="T11" s="64">
        <f t="shared" si="11"/>
        <v>100000</v>
      </c>
      <c r="U11" s="45">
        <v>2</v>
      </c>
      <c r="V11" s="55"/>
    </row>
    <row r="12" spans="1:22" x14ac:dyDescent="0.25">
      <c r="A12" s="45">
        <f t="shared" ca="1" si="0"/>
        <v>2029</v>
      </c>
      <c r="B12" s="54">
        <f t="shared" ref="B12:B29" ca="1" si="14">MAX(B11-(G11-H11)+M11+P11+K11,0)</f>
        <v>100000</v>
      </c>
      <c r="C12" s="46">
        <f t="shared" si="1"/>
        <v>3</v>
      </c>
      <c r="D12" s="50">
        <f t="shared" ref="D12:D29" si="15">IF(C12="","",T11)</f>
        <v>100000</v>
      </c>
      <c r="E12" s="50">
        <f t="shared" si="2"/>
        <v>0</v>
      </c>
      <c r="F12" s="50">
        <f ca="1">IF(C12="","",VLOOKUP(A12,Allowances!A:B,2,FALSE)*(1-CGT_used))</f>
        <v>3060</v>
      </c>
      <c r="G12" s="50">
        <f t="shared" si="3"/>
        <v>0</v>
      </c>
      <c r="H12" s="64">
        <f t="shared" ca="1" si="4"/>
        <v>0</v>
      </c>
      <c r="I12" s="50">
        <f t="shared" ca="1" si="5"/>
        <v>0</v>
      </c>
      <c r="J12" s="50">
        <f t="shared" ref="J12:J29" ca="1" si="16">IF(C12="","",MAX(E12-H12+L11,0))</f>
        <v>0</v>
      </c>
      <c r="K12" s="64">
        <f t="shared" ca="1" si="6"/>
        <v>0</v>
      </c>
      <c r="L12" s="50">
        <f t="shared" ca="1" si="12"/>
        <v>0</v>
      </c>
      <c r="M12" s="50">
        <f t="shared" si="7"/>
        <v>0</v>
      </c>
      <c r="N12" s="50">
        <f ca="1">IF(C12="","",VLOOKUP(A12,Allowances!A:D,4,FALSE)*(IF(OR(Current_IT=0,Current_IT=0.2),1,IF(Current_IT=0.4,0.5,0))*(1-PSA_used)))</f>
        <v>1020</v>
      </c>
      <c r="O12" s="50">
        <f t="shared" ca="1" si="8"/>
        <v>0</v>
      </c>
      <c r="P12" s="50">
        <f t="shared" si="9"/>
        <v>0</v>
      </c>
      <c r="Q12" s="50">
        <f ca="1">IF(C12="","",VLOOKUP(A12,Allowances!A:D,3,FALSE)*(1-Div_used))</f>
        <v>510</v>
      </c>
      <c r="R12" s="50">
        <f t="shared" ca="1" si="10"/>
        <v>0</v>
      </c>
      <c r="S12" s="50">
        <f t="shared" ca="1" si="13"/>
        <v>0</v>
      </c>
      <c r="T12" s="64">
        <f t="shared" si="11"/>
        <v>100000</v>
      </c>
      <c r="U12" s="45">
        <v>3</v>
      </c>
      <c r="V12" s="55"/>
    </row>
    <row r="13" spans="1:22" x14ac:dyDescent="0.25">
      <c r="A13" s="45">
        <f t="shared" ca="1" si="0"/>
        <v>2030</v>
      </c>
      <c r="B13" s="54">
        <f t="shared" ca="1" si="14"/>
        <v>100000</v>
      </c>
      <c r="C13" s="46">
        <f t="shared" si="1"/>
        <v>4</v>
      </c>
      <c r="D13" s="50">
        <f t="shared" si="15"/>
        <v>100000</v>
      </c>
      <c r="E13" s="50">
        <f t="shared" si="2"/>
        <v>0</v>
      </c>
      <c r="F13" s="50">
        <f ca="1">IF(C13="","",VLOOKUP(A13,Allowances!A:B,2,FALSE)*(1-CGT_used))</f>
        <v>3122</v>
      </c>
      <c r="G13" s="50">
        <f t="shared" si="3"/>
        <v>0</v>
      </c>
      <c r="H13" s="64">
        <f t="shared" ca="1" si="4"/>
        <v>0</v>
      </c>
      <c r="I13" s="50">
        <f t="shared" ca="1" si="5"/>
        <v>0</v>
      </c>
      <c r="J13" s="50">
        <f t="shared" ca="1" si="16"/>
        <v>0</v>
      </c>
      <c r="K13" s="64">
        <f t="shared" ca="1" si="6"/>
        <v>0</v>
      </c>
      <c r="L13" s="50">
        <f t="shared" ca="1" si="12"/>
        <v>0</v>
      </c>
      <c r="M13" s="50">
        <f t="shared" si="7"/>
        <v>0</v>
      </c>
      <c r="N13" s="50">
        <f ca="1">IF(C13="","",VLOOKUP(A13,Allowances!A:D,4,FALSE)*(IF(OR(Current_IT=0,Current_IT=0.2),1,IF(Current_IT=0.4,0.5,0))*(1-PSA_used)))</f>
        <v>1041</v>
      </c>
      <c r="O13" s="50">
        <f t="shared" ca="1" si="8"/>
        <v>0</v>
      </c>
      <c r="P13" s="50">
        <f t="shared" si="9"/>
        <v>0</v>
      </c>
      <c r="Q13" s="50">
        <f ca="1">IF(C13="","",VLOOKUP(A13,Allowances!A:D,3,FALSE)*(1-Div_used))</f>
        <v>521</v>
      </c>
      <c r="R13" s="50">
        <f t="shared" ca="1" si="10"/>
        <v>0</v>
      </c>
      <c r="S13" s="50">
        <f t="shared" ca="1" si="13"/>
        <v>0</v>
      </c>
      <c r="T13" s="64">
        <f t="shared" si="11"/>
        <v>100000</v>
      </c>
      <c r="U13" s="45">
        <v>4</v>
      </c>
      <c r="V13" s="55"/>
    </row>
    <row r="14" spans="1:22" x14ac:dyDescent="0.25">
      <c r="A14" s="45">
        <f t="shared" ca="1" si="0"/>
        <v>2031</v>
      </c>
      <c r="B14" s="54">
        <f t="shared" ca="1" si="14"/>
        <v>100000</v>
      </c>
      <c r="C14" s="46">
        <f t="shared" si="1"/>
        <v>5</v>
      </c>
      <c r="D14" s="50">
        <f t="shared" si="15"/>
        <v>100000</v>
      </c>
      <c r="E14" s="50">
        <f t="shared" si="2"/>
        <v>0</v>
      </c>
      <c r="F14" s="50">
        <f ca="1">IF(C14="","",VLOOKUP(A14,Allowances!A:B,2,FALSE)*(1-CGT_used))</f>
        <v>3185</v>
      </c>
      <c r="G14" s="50">
        <f t="shared" si="3"/>
        <v>0</v>
      </c>
      <c r="H14" s="64">
        <f t="shared" ca="1" si="4"/>
        <v>0</v>
      </c>
      <c r="I14" s="50">
        <f t="shared" ca="1" si="5"/>
        <v>0</v>
      </c>
      <c r="J14" s="50">
        <f t="shared" ca="1" si="16"/>
        <v>0</v>
      </c>
      <c r="K14" s="64">
        <f t="shared" ca="1" si="6"/>
        <v>0</v>
      </c>
      <c r="L14" s="50">
        <f t="shared" ca="1" si="12"/>
        <v>0</v>
      </c>
      <c r="M14" s="50">
        <f t="shared" si="7"/>
        <v>0</v>
      </c>
      <c r="N14" s="50">
        <f ca="1">IF(C14="","",VLOOKUP(A14,Allowances!A:D,4,FALSE)*(IF(OR(Current_IT=0,Current_IT=0.2),1,IF(Current_IT=0.4,0.5,0))*(1-PSA_used)))</f>
        <v>1062</v>
      </c>
      <c r="O14" s="50">
        <f t="shared" ca="1" si="8"/>
        <v>0</v>
      </c>
      <c r="P14" s="50">
        <f t="shared" si="9"/>
        <v>0</v>
      </c>
      <c r="Q14" s="50">
        <f ca="1">IF(C14="","",VLOOKUP(A14,Allowances!A:D,3,FALSE)*(1-Div_used))</f>
        <v>532</v>
      </c>
      <c r="R14" s="50">
        <f t="shared" ca="1" si="10"/>
        <v>0</v>
      </c>
      <c r="S14" s="50">
        <f t="shared" ca="1" si="13"/>
        <v>0</v>
      </c>
      <c r="T14" s="64">
        <f t="shared" si="11"/>
        <v>100000</v>
      </c>
      <c r="U14" s="45">
        <v>5</v>
      </c>
      <c r="V14" s="55"/>
    </row>
    <row r="15" spans="1:22" x14ac:dyDescent="0.25">
      <c r="A15" s="45">
        <f t="shared" ca="1" si="0"/>
        <v>2032</v>
      </c>
      <c r="B15" s="54">
        <f t="shared" ca="1" si="14"/>
        <v>100000</v>
      </c>
      <c r="C15" s="46">
        <f t="shared" si="1"/>
        <v>6</v>
      </c>
      <c r="D15" s="50">
        <f t="shared" si="15"/>
        <v>100000</v>
      </c>
      <c r="E15" s="50">
        <f t="shared" si="2"/>
        <v>0</v>
      </c>
      <c r="F15" s="50">
        <f ca="1">IF(C15="","",VLOOKUP(A15,Allowances!A:B,2,FALSE)*(1-CGT_used))</f>
        <v>3249</v>
      </c>
      <c r="G15" s="50">
        <f t="shared" si="3"/>
        <v>0</v>
      </c>
      <c r="H15" s="64">
        <f t="shared" ca="1" si="4"/>
        <v>0</v>
      </c>
      <c r="I15" s="50">
        <f t="shared" ca="1" si="5"/>
        <v>0</v>
      </c>
      <c r="J15" s="50">
        <f t="shared" ca="1" si="16"/>
        <v>0</v>
      </c>
      <c r="K15" s="64">
        <f t="shared" ca="1" si="6"/>
        <v>0</v>
      </c>
      <c r="L15" s="50">
        <f t="shared" ca="1" si="12"/>
        <v>0</v>
      </c>
      <c r="M15" s="50">
        <f t="shared" si="7"/>
        <v>0</v>
      </c>
      <c r="N15" s="50">
        <f ca="1">IF(C15="","",VLOOKUP(A15,Allowances!A:D,4,FALSE)*(IF(OR(Current_IT=0,Current_IT=0.2),1,IF(Current_IT=0.4,0.5,0))*(1-PSA_used)))</f>
        <v>1084</v>
      </c>
      <c r="O15" s="50">
        <f t="shared" ca="1" si="8"/>
        <v>0</v>
      </c>
      <c r="P15" s="50">
        <f t="shared" si="9"/>
        <v>0</v>
      </c>
      <c r="Q15" s="50">
        <f ca="1">IF(C15="","",VLOOKUP(A15,Allowances!A:D,3,FALSE)*(1-Div_used))</f>
        <v>543</v>
      </c>
      <c r="R15" s="50">
        <f t="shared" ca="1" si="10"/>
        <v>0</v>
      </c>
      <c r="S15" s="50">
        <f t="shared" ca="1" si="13"/>
        <v>0</v>
      </c>
      <c r="T15" s="64">
        <f t="shared" si="11"/>
        <v>100000</v>
      </c>
      <c r="U15" s="45">
        <v>6</v>
      </c>
      <c r="V15" s="55"/>
    </row>
    <row r="16" spans="1:22" x14ac:dyDescent="0.25">
      <c r="A16" s="45">
        <f t="shared" ca="1" si="0"/>
        <v>2033</v>
      </c>
      <c r="B16" s="54">
        <f t="shared" ca="1" si="14"/>
        <v>100000</v>
      </c>
      <c r="C16" s="46">
        <f t="shared" si="1"/>
        <v>7</v>
      </c>
      <c r="D16" s="50">
        <f t="shared" si="15"/>
        <v>100000</v>
      </c>
      <c r="E16" s="50">
        <f t="shared" si="2"/>
        <v>0</v>
      </c>
      <c r="F16" s="50">
        <f ca="1">IF(C16="","",VLOOKUP(A16,Allowances!A:B,2,FALSE)*(1-CGT_used))</f>
        <v>3314</v>
      </c>
      <c r="G16" s="50">
        <f t="shared" si="3"/>
        <v>0</v>
      </c>
      <c r="H16" s="64">
        <f t="shared" ca="1" si="4"/>
        <v>0</v>
      </c>
      <c r="I16" s="50">
        <f t="shared" ca="1" si="5"/>
        <v>0</v>
      </c>
      <c r="J16" s="50">
        <f t="shared" ca="1" si="16"/>
        <v>0</v>
      </c>
      <c r="K16" s="64">
        <f t="shared" ca="1" si="6"/>
        <v>0</v>
      </c>
      <c r="L16" s="50">
        <f t="shared" ca="1" si="12"/>
        <v>0</v>
      </c>
      <c r="M16" s="50">
        <f t="shared" si="7"/>
        <v>0</v>
      </c>
      <c r="N16" s="50">
        <f ca="1">IF(C16="","",VLOOKUP(A16,Allowances!A:D,4,FALSE)*(IF(OR(Current_IT=0,Current_IT=0.2),1,IF(Current_IT=0.4,0.5,0))*(1-PSA_used)))</f>
        <v>1106</v>
      </c>
      <c r="O16" s="50">
        <f t="shared" ca="1" si="8"/>
        <v>0</v>
      </c>
      <c r="P16" s="50">
        <f t="shared" si="9"/>
        <v>0</v>
      </c>
      <c r="Q16" s="50">
        <f ca="1">IF(C16="","",VLOOKUP(A16,Allowances!A:D,3,FALSE)*(1-Div_used))</f>
        <v>554</v>
      </c>
      <c r="R16" s="50">
        <f t="shared" ca="1" si="10"/>
        <v>0</v>
      </c>
      <c r="S16" s="50">
        <f t="shared" ca="1" si="13"/>
        <v>0</v>
      </c>
      <c r="T16" s="64">
        <f t="shared" si="11"/>
        <v>100000</v>
      </c>
      <c r="U16" s="45">
        <v>7</v>
      </c>
      <c r="V16" s="55"/>
    </row>
    <row r="17" spans="1:22" x14ac:dyDescent="0.25">
      <c r="A17" s="45">
        <f t="shared" ca="1" si="0"/>
        <v>2034</v>
      </c>
      <c r="B17" s="54">
        <f t="shared" ca="1" si="14"/>
        <v>100000</v>
      </c>
      <c r="C17" s="46">
        <f t="shared" si="1"/>
        <v>8</v>
      </c>
      <c r="D17" s="50">
        <f t="shared" si="15"/>
        <v>100000</v>
      </c>
      <c r="E17" s="50">
        <f t="shared" si="2"/>
        <v>0</v>
      </c>
      <c r="F17" s="50">
        <f ca="1">IF(C17="","",VLOOKUP(A17,Allowances!A:B,2,FALSE)*(1-CGT_used))</f>
        <v>3381</v>
      </c>
      <c r="G17" s="50">
        <f t="shared" si="3"/>
        <v>0</v>
      </c>
      <c r="H17" s="64">
        <f t="shared" ca="1" si="4"/>
        <v>0</v>
      </c>
      <c r="I17" s="50">
        <f t="shared" ca="1" si="5"/>
        <v>0</v>
      </c>
      <c r="J17" s="50">
        <f t="shared" ca="1" si="16"/>
        <v>0</v>
      </c>
      <c r="K17" s="64">
        <f t="shared" ca="1" si="6"/>
        <v>0</v>
      </c>
      <c r="L17" s="50">
        <f t="shared" ca="1" si="12"/>
        <v>0</v>
      </c>
      <c r="M17" s="50">
        <f t="shared" si="7"/>
        <v>0</v>
      </c>
      <c r="N17" s="50">
        <f ca="1">IF(C17="","",VLOOKUP(A17,Allowances!A:D,4,FALSE)*(IF(OR(Current_IT=0,Current_IT=0.2),1,IF(Current_IT=0.4,0.5,0))*(1-PSA_used)))</f>
        <v>1129</v>
      </c>
      <c r="O17" s="50">
        <f t="shared" ca="1" si="8"/>
        <v>0</v>
      </c>
      <c r="P17" s="50">
        <f t="shared" si="9"/>
        <v>0</v>
      </c>
      <c r="Q17" s="50">
        <f ca="1">IF(C17="","",VLOOKUP(A17,Allowances!A:D,3,FALSE)*(1-Div_used))</f>
        <v>566</v>
      </c>
      <c r="R17" s="50">
        <f t="shared" ca="1" si="10"/>
        <v>0</v>
      </c>
      <c r="S17" s="50">
        <f t="shared" ca="1" si="13"/>
        <v>0</v>
      </c>
      <c r="T17" s="64">
        <f t="shared" si="11"/>
        <v>100000</v>
      </c>
      <c r="U17" s="45">
        <v>8</v>
      </c>
      <c r="V17" s="55"/>
    </row>
    <row r="18" spans="1:22" x14ac:dyDescent="0.25">
      <c r="A18" s="45">
        <f t="shared" ca="1" si="0"/>
        <v>2035</v>
      </c>
      <c r="B18" s="54">
        <f t="shared" ca="1" si="14"/>
        <v>100000</v>
      </c>
      <c r="C18" s="46">
        <f t="shared" si="1"/>
        <v>9</v>
      </c>
      <c r="D18" s="50">
        <f t="shared" si="15"/>
        <v>100000</v>
      </c>
      <c r="E18" s="50">
        <f t="shared" si="2"/>
        <v>0</v>
      </c>
      <c r="F18" s="50">
        <f ca="1">IF(C18="","",VLOOKUP(A18,Allowances!A:B,2,FALSE)*(1-CGT_used))</f>
        <v>3449</v>
      </c>
      <c r="G18" s="50">
        <f t="shared" si="3"/>
        <v>0</v>
      </c>
      <c r="H18" s="64">
        <f t="shared" ca="1" si="4"/>
        <v>0</v>
      </c>
      <c r="I18" s="50">
        <f t="shared" ca="1" si="5"/>
        <v>0</v>
      </c>
      <c r="J18" s="50">
        <f t="shared" ca="1" si="16"/>
        <v>0</v>
      </c>
      <c r="K18" s="64">
        <f t="shared" ca="1" si="6"/>
        <v>0</v>
      </c>
      <c r="L18" s="50">
        <f t="shared" ca="1" si="12"/>
        <v>0</v>
      </c>
      <c r="M18" s="50">
        <f t="shared" si="7"/>
        <v>0</v>
      </c>
      <c r="N18" s="50">
        <f ca="1">IF(C18="","",VLOOKUP(A18,Allowances!A:D,4,FALSE)*(IF(OR(Current_IT=0,Current_IT=0.2),1,IF(Current_IT=0.4,0.5,0))*(1-PSA_used)))</f>
        <v>1152</v>
      </c>
      <c r="O18" s="50">
        <f t="shared" ca="1" si="8"/>
        <v>0</v>
      </c>
      <c r="P18" s="50">
        <f t="shared" si="9"/>
        <v>0</v>
      </c>
      <c r="Q18" s="50">
        <f ca="1">IF(C18="","",VLOOKUP(A18,Allowances!A:D,3,FALSE)*(1-Div_used))</f>
        <v>578</v>
      </c>
      <c r="R18" s="50">
        <f t="shared" ca="1" si="10"/>
        <v>0</v>
      </c>
      <c r="S18" s="50">
        <f t="shared" ca="1" si="13"/>
        <v>0</v>
      </c>
      <c r="T18" s="64">
        <f t="shared" si="11"/>
        <v>100000</v>
      </c>
      <c r="U18" s="45">
        <v>9</v>
      </c>
      <c r="V18" s="55"/>
    </row>
    <row r="19" spans="1:22" x14ac:dyDescent="0.25">
      <c r="A19" s="45">
        <f t="shared" ca="1" si="0"/>
        <v>2036</v>
      </c>
      <c r="B19" s="54">
        <f t="shared" ca="1" si="14"/>
        <v>100000</v>
      </c>
      <c r="C19" s="46">
        <f t="shared" si="1"/>
        <v>10</v>
      </c>
      <c r="D19" s="50">
        <f t="shared" si="15"/>
        <v>100000</v>
      </c>
      <c r="E19" s="50">
        <f t="shared" si="2"/>
        <v>0</v>
      </c>
      <c r="F19" s="50">
        <f ca="1">IF(C19="","",VLOOKUP(A19,Allowances!A:B,2,FALSE)*(1-CGT_used))</f>
        <v>3518</v>
      </c>
      <c r="G19" s="50">
        <f t="shared" si="3"/>
        <v>0</v>
      </c>
      <c r="H19" s="64">
        <f t="shared" ca="1" si="4"/>
        <v>0</v>
      </c>
      <c r="I19" s="50">
        <f t="shared" ca="1" si="5"/>
        <v>0</v>
      </c>
      <c r="J19" s="50">
        <f t="shared" ca="1" si="16"/>
        <v>0</v>
      </c>
      <c r="K19" s="64">
        <f t="shared" si="6"/>
        <v>0</v>
      </c>
      <c r="L19" s="50">
        <f t="shared" ca="1" si="12"/>
        <v>0</v>
      </c>
      <c r="M19" s="50">
        <f t="shared" si="7"/>
        <v>0</v>
      </c>
      <c r="N19" s="50">
        <f ca="1">IF(C19="","",VLOOKUP(A19,Allowances!A:D,4,FALSE)*(IF(OR(Current_IT=0,Current_IT=0.2),1,IF(Current_IT=0.4,0.5,0))*(1-PSA_used)))</f>
        <v>1176</v>
      </c>
      <c r="O19" s="50">
        <f t="shared" ca="1" si="8"/>
        <v>0</v>
      </c>
      <c r="P19" s="50">
        <f t="shared" si="9"/>
        <v>0</v>
      </c>
      <c r="Q19" s="50">
        <f ca="1">IF(C19="","",VLOOKUP(A19,Allowances!A:D,3,FALSE)*(1-Div_used))</f>
        <v>590</v>
      </c>
      <c r="R19" s="50">
        <f t="shared" ca="1" si="10"/>
        <v>0</v>
      </c>
      <c r="S19" s="50">
        <f t="shared" ca="1" si="13"/>
        <v>0</v>
      </c>
      <c r="T19" s="64">
        <f t="shared" si="11"/>
        <v>100000</v>
      </c>
      <c r="U19" s="45">
        <v>10</v>
      </c>
      <c r="V19" s="55"/>
    </row>
    <row r="20" spans="1:22" x14ac:dyDescent="0.25">
      <c r="A20" s="45" t="str">
        <f t="shared" ca="1" si="0"/>
        <v/>
      </c>
      <c r="B20" s="54">
        <f t="shared" ca="1" si="14"/>
        <v>100000</v>
      </c>
      <c r="C20" s="46" t="str">
        <f t="shared" si="1"/>
        <v/>
      </c>
      <c r="D20" s="50" t="str">
        <f t="shared" si="15"/>
        <v/>
      </c>
      <c r="E20" s="50" t="str">
        <f t="shared" si="2"/>
        <v/>
      </c>
      <c r="F20" s="50" t="str">
        <f>IF(C20="","",VLOOKUP(A20,Allowances!A:B,2,FALSE)*(1-CGT_used))</f>
        <v/>
      </c>
      <c r="G20" s="50" t="str">
        <f t="shared" si="3"/>
        <v/>
      </c>
      <c r="H20" s="64" t="str">
        <f t="shared" si="4"/>
        <v/>
      </c>
      <c r="I20" s="50" t="str">
        <f t="shared" si="5"/>
        <v/>
      </c>
      <c r="J20" s="50" t="str">
        <f t="shared" si="16"/>
        <v/>
      </c>
      <c r="K20" s="64" t="str">
        <f t="shared" si="6"/>
        <v/>
      </c>
      <c r="L20" s="50" t="str">
        <f t="shared" si="12"/>
        <v/>
      </c>
      <c r="M20" s="50" t="str">
        <f t="shared" si="7"/>
        <v/>
      </c>
      <c r="N20" s="50" t="str">
        <f>IF(C20="","",VLOOKUP(A20,Allowances!A:D,4,FALSE)*(IF(OR(Current_IT=0,Current_IT=0.2),1,IF(Current_IT=0.4,0.5,0))*(1-PSA_used)))</f>
        <v/>
      </c>
      <c r="O20" s="50" t="str">
        <f t="shared" si="8"/>
        <v/>
      </c>
      <c r="P20" s="50" t="str">
        <f t="shared" si="9"/>
        <v/>
      </c>
      <c r="Q20" s="50" t="str">
        <f>IF(C20="","",VLOOKUP(A20,Allowances!A:D,3,FALSE)*(1-Div_used))</f>
        <v/>
      </c>
      <c r="R20" s="50" t="str">
        <f t="shared" si="10"/>
        <v/>
      </c>
      <c r="S20" s="50" t="str">
        <f t="shared" si="13"/>
        <v/>
      </c>
      <c r="T20" s="64" t="str">
        <f t="shared" si="11"/>
        <v/>
      </c>
      <c r="U20" s="45">
        <v>11</v>
      </c>
      <c r="V20" s="55"/>
    </row>
    <row r="21" spans="1:22" x14ac:dyDescent="0.25">
      <c r="A21" s="45" t="str">
        <f t="shared" ca="1" si="0"/>
        <v/>
      </c>
      <c r="B21" s="54" t="e">
        <f t="shared" ca="1" si="14"/>
        <v>#VALUE!</v>
      </c>
      <c r="C21" s="46" t="str">
        <f t="shared" si="1"/>
        <v/>
      </c>
      <c r="D21" s="50" t="str">
        <f t="shared" si="15"/>
        <v/>
      </c>
      <c r="E21" s="50" t="str">
        <f t="shared" si="2"/>
        <v/>
      </c>
      <c r="F21" s="50" t="str">
        <f>IF(C21="","",VLOOKUP(A21,Allowances!A:B,2,FALSE)*(1-CGT_used))</f>
        <v/>
      </c>
      <c r="G21" s="50" t="str">
        <f t="shared" si="3"/>
        <v/>
      </c>
      <c r="H21" s="64" t="str">
        <f t="shared" si="4"/>
        <v/>
      </c>
      <c r="I21" s="50" t="str">
        <f t="shared" si="5"/>
        <v/>
      </c>
      <c r="J21" s="50" t="str">
        <f t="shared" si="16"/>
        <v/>
      </c>
      <c r="K21" s="64" t="str">
        <f t="shared" si="6"/>
        <v/>
      </c>
      <c r="L21" s="50" t="str">
        <f t="shared" si="12"/>
        <v/>
      </c>
      <c r="M21" s="50" t="str">
        <f t="shared" si="7"/>
        <v/>
      </c>
      <c r="N21" s="50" t="str">
        <f>IF(C21="","",VLOOKUP(A21,Allowances!A:D,4,FALSE)*(IF(OR(Current_IT=0,Current_IT=0.2),1,IF(Current_IT=0.4,0.5,0))*(1-PSA_used)))</f>
        <v/>
      </c>
      <c r="O21" s="50" t="str">
        <f t="shared" si="8"/>
        <v/>
      </c>
      <c r="P21" s="50" t="str">
        <f t="shared" si="9"/>
        <v/>
      </c>
      <c r="Q21" s="50" t="str">
        <f>IF(C21="","",VLOOKUP(A21,Allowances!A:D,3,FALSE)*(1-Div_used))</f>
        <v/>
      </c>
      <c r="R21" s="50" t="str">
        <f t="shared" si="10"/>
        <v/>
      </c>
      <c r="S21" s="50" t="str">
        <f t="shared" si="13"/>
        <v/>
      </c>
      <c r="T21" s="64" t="str">
        <f t="shared" si="11"/>
        <v/>
      </c>
      <c r="U21" s="45">
        <v>12</v>
      </c>
      <c r="V21" s="55"/>
    </row>
    <row r="22" spans="1:22" x14ac:dyDescent="0.25">
      <c r="A22" s="45" t="str">
        <f t="shared" ca="1" si="0"/>
        <v/>
      </c>
      <c r="B22" s="54" t="e">
        <f t="shared" ca="1" si="14"/>
        <v>#VALUE!</v>
      </c>
      <c r="C22" s="46" t="str">
        <f t="shared" si="1"/>
        <v/>
      </c>
      <c r="D22" s="50" t="str">
        <f t="shared" si="15"/>
        <v/>
      </c>
      <c r="E22" s="50" t="str">
        <f t="shared" si="2"/>
        <v/>
      </c>
      <c r="F22" s="50" t="str">
        <f>IF(C22="","",VLOOKUP(A22,Allowances!A:B,2,FALSE)*(1-CGT_used))</f>
        <v/>
      </c>
      <c r="G22" s="50" t="str">
        <f t="shared" si="3"/>
        <v/>
      </c>
      <c r="H22" s="64" t="str">
        <f t="shared" si="4"/>
        <v/>
      </c>
      <c r="I22" s="50" t="str">
        <f t="shared" si="5"/>
        <v/>
      </c>
      <c r="J22" s="50" t="str">
        <f t="shared" si="16"/>
        <v/>
      </c>
      <c r="K22" s="64" t="str">
        <f t="shared" si="6"/>
        <v/>
      </c>
      <c r="L22" s="50" t="str">
        <f t="shared" si="12"/>
        <v/>
      </c>
      <c r="M22" s="50" t="str">
        <f t="shared" si="7"/>
        <v/>
      </c>
      <c r="N22" s="50" t="str">
        <f>IF(C22="","",VLOOKUP(A22,Allowances!A:D,4,FALSE)*(IF(OR(Current_IT=0,Current_IT=0.2),1,IF(Current_IT=0.4,0.5,0))*(1-PSA_used)))</f>
        <v/>
      </c>
      <c r="O22" s="50" t="str">
        <f t="shared" si="8"/>
        <v/>
      </c>
      <c r="P22" s="50" t="str">
        <f t="shared" si="9"/>
        <v/>
      </c>
      <c r="Q22" s="50" t="str">
        <f>IF(C22="","",VLOOKUP(A22,Allowances!A:D,3,FALSE)*(1-Div_used))</f>
        <v/>
      </c>
      <c r="R22" s="50" t="str">
        <f t="shared" si="10"/>
        <v/>
      </c>
      <c r="S22" s="50" t="str">
        <f t="shared" si="13"/>
        <v/>
      </c>
      <c r="T22" s="64" t="str">
        <f t="shared" si="11"/>
        <v/>
      </c>
      <c r="U22" s="45">
        <v>13</v>
      </c>
      <c r="V22" s="55"/>
    </row>
    <row r="23" spans="1:22" x14ac:dyDescent="0.25">
      <c r="A23" s="45" t="str">
        <f t="shared" ca="1" si="0"/>
        <v/>
      </c>
      <c r="B23" s="54" t="e">
        <f t="shared" ca="1" si="14"/>
        <v>#VALUE!</v>
      </c>
      <c r="C23" s="46" t="str">
        <f t="shared" si="1"/>
        <v/>
      </c>
      <c r="D23" s="50" t="str">
        <f t="shared" si="15"/>
        <v/>
      </c>
      <c r="E23" s="50" t="str">
        <f t="shared" si="2"/>
        <v/>
      </c>
      <c r="F23" s="50" t="str">
        <f>IF(C23="","",VLOOKUP(A23,Allowances!A:B,2,FALSE)*(1-CGT_used))</f>
        <v/>
      </c>
      <c r="G23" s="50" t="str">
        <f t="shared" si="3"/>
        <v/>
      </c>
      <c r="H23" s="64" t="str">
        <f t="shared" si="4"/>
        <v/>
      </c>
      <c r="I23" s="50" t="str">
        <f t="shared" si="5"/>
        <v/>
      </c>
      <c r="J23" s="50" t="str">
        <f t="shared" si="16"/>
        <v/>
      </c>
      <c r="K23" s="64" t="str">
        <f t="shared" si="6"/>
        <v/>
      </c>
      <c r="L23" s="50" t="str">
        <f t="shared" si="12"/>
        <v/>
      </c>
      <c r="M23" s="50" t="str">
        <f t="shared" si="7"/>
        <v/>
      </c>
      <c r="N23" s="50" t="str">
        <f>IF(C23="","",VLOOKUP(A23,Allowances!A:D,4,FALSE)*(IF(OR(Current_IT=0,Current_IT=0.2),1,IF(Current_IT=0.4,0.5,0))*(1-PSA_used)))</f>
        <v/>
      </c>
      <c r="O23" s="50" t="str">
        <f t="shared" si="8"/>
        <v/>
      </c>
      <c r="P23" s="50" t="str">
        <f t="shared" si="9"/>
        <v/>
      </c>
      <c r="Q23" s="50" t="str">
        <f>IF(C23="","",VLOOKUP(A23,Allowances!A:D,3,FALSE)*(1-Div_used))</f>
        <v/>
      </c>
      <c r="R23" s="50" t="str">
        <f t="shared" si="10"/>
        <v/>
      </c>
      <c r="S23" s="50" t="str">
        <f t="shared" si="13"/>
        <v/>
      </c>
      <c r="T23" s="64" t="str">
        <f t="shared" si="11"/>
        <v/>
      </c>
      <c r="U23" s="45">
        <v>14</v>
      </c>
      <c r="V23" s="55"/>
    </row>
    <row r="24" spans="1:22" x14ac:dyDescent="0.25">
      <c r="A24" s="45" t="str">
        <f t="shared" ca="1" si="0"/>
        <v/>
      </c>
      <c r="B24" s="54" t="e">
        <f t="shared" ca="1" si="14"/>
        <v>#VALUE!</v>
      </c>
      <c r="C24" s="46" t="str">
        <f t="shared" si="1"/>
        <v/>
      </c>
      <c r="D24" s="50" t="str">
        <f t="shared" si="15"/>
        <v/>
      </c>
      <c r="E24" s="50" t="str">
        <f t="shared" si="2"/>
        <v/>
      </c>
      <c r="F24" s="50" t="str">
        <f>IF(C24="","",VLOOKUP(A24,Allowances!A:B,2,FALSE)*(1-CGT_used))</f>
        <v/>
      </c>
      <c r="G24" s="50" t="str">
        <f t="shared" si="3"/>
        <v/>
      </c>
      <c r="H24" s="64" t="str">
        <f t="shared" si="4"/>
        <v/>
      </c>
      <c r="I24" s="50" t="str">
        <f t="shared" si="5"/>
        <v/>
      </c>
      <c r="J24" s="50" t="str">
        <f t="shared" si="16"/>
        <v/>
      </c>
      <c r="K24" s="64" t="str">
        <f t="shared" si="6"/>
        <v/>
      </c>
      <c r="L24" s="50" t="str">
        <f t="shared" si="12"/>
        <v/>
      </c>
      <c r="M24" s="50" t="str">
        <f t="shared" si="7"/>
        <v/>
      </c>
      <c r="N24" s="50" t="str">
        <f>IF(C24="","",VLOOKUP(A24,Allowances!A:D,4,FALSE)*(IF(OR(Current_IT=0,Current_IT=0.2),1,IF(Current_IT=0.4,0.5,0))*(1-PSA_used)))</f>
        <v/>
      </c>
      <c r="O24" s="50" t="str">
        <f t="shared" si="8"/>
        <v/>
      </c>
      <c r="P24" s="50" t="str">
        <f t="shared" si="9"/>
        <v/>
      </c>
      <c r="Q24" s="50" t="str">
        <f>IF(C24="","",VLOOKUP(A24,Allowances!A:D,3,FALSE)*(1-Div_used))</f>
        <v/>
      </c>
      <c r="R24" s="50" t="str">
        <f t="shared" si="10"/>
        <v/>
      </c>
      <c r="S24" s="50" t="str">
        <f t="shared" si="13"/>
        <v/>
      </c>
      <c r="T24" s="64" t="str">
        <f t="shared" si="11"/>
        <v/>
      </c>
      <c r="U24" s="45">
        <v>15</v>
      </c>
      <c r="V24" s="55"/>
    </row>
    <row r="25" spans="1:22" x14ac:dyDescent="0.25">
      <c r="A25" s="45" t="str">
        <f t="shared" ca="1" si="0"/>
        <v/>
      </c>
      <c r="B25" s="54" t="e">
        <f t="shared" ca="1" si="14"/>
        <v>#VALUE!</v>
      </c>
      <c r="C25" s="46" t="str">
        <f t="shared" si="1"/>
        <v/>
      </c>
      <c r="D25" s="50" t="str">
        <f t="shared" si="15"/>
        <v/>
      </c>
      <c r="E25" s="50" t="str">
        <f t="shared" si="2"/>
        <v/>
      </c>
      <c r="F25" s="50" t="str">
        <f>IF(C25="","",VLOOKUP(A25,Allowances!A:B,2,FALSE)*(1-CGT_used))</f>
        <v/>
      </c>
      <c r="G25" s="50" t="str">
        <f t="shared" si="3"/>
        <v/>
      </c>
      <c r="H25" s="64" t="str">
        <f t="shared" si="4"/>
        <v/>
      </c>
      <c r="I25" s="50" t="str">
        <f t="shared" si="5"/>
        <v/>
      </c>
      <c r="J25" s="50" t="str">
        <f t="shared" si="16"/>
        <v/>
      </c>
      <c r="K25" s="64" t="str">
        <f t="shared" si="6"/>
        <v/>
      </c>
      <c r="L25" s="50" t="str">
        <f t="shared" si="12"/>
        <v/>
      </c>
      <c r="M25" s="50" t="str">
        <f t="shared" si="7"/>
        <v/>
      </c>
      <c r="N25" s="50" t="str">
        <f>IF(C25="","",VLOOKUP(A25,Allowances!A:D,4,FALSE)*(IF(OR(Current_IT=0,Current_IT=0.2),1,IF(Current_IT=0.4,0.5,0))*(1-PSA_used)))</f>
        <v/>
      </c>
      <c r="O25" s="50" t="str">
        <f t="shared" si="8"/>
        <v/>
      </c>
      <c r="P25" s="50" t="str">
        <f t="shared" si="9"/>
        <v/>
      </c>
      <c r="Q25" s="50" t="str">
        <f>IF(C25="","",VLOOKUP(A25,Allowances!A:D,3,FALSE)*(1-Div_used))</f>
        <v/>
      </c>
      <c r="R25" s="50" t="str">
        <f t="shared" si="10"/>
        <v/>
      </c>
      <c r="S25" s="50" t="str">
        <f t="shared" si="13"/>
        <v/>
      </c>
      <c r="T25" s="64" t="str">
        <f t="shared" si="11"/>
        <v/>
      </c>
      <c r="U25" s="45">
        <v>16</v>
      </c>
      <c r="V25" s="55"/>
    </row>
    <row r="26" spans="1:22" x14ac:dyDescent="0.25">
      <c r="A26" s="45" t="str">
        <f t="shared" ca="1" si="0"/>
        <v/>
      </c>
      <c r="B26" s="54" t="e">
        <f t="shared" ca="1" si="14"/>
        <v>#VALUE!</v>
      </c>
      <c r="C26" s="46" t="str">
        <f t="shared" si="1"/>
        <v/>
      </c>
      <c r="D26" s="50" t="str">
        <f t="shared" si="15"/>
        <v/>
      </c>
      <c r="E26" s="50" t="str">
        <f t="shared" si="2"/>
        <v/>
      </c>
      <c r="F26" s="50" t="str">
        <f>IF(C26="","",VLOOKUP(A26,Allowances!A:B,2,FALSE)*(1-CGT_used))</f>
        <v/>
      </c>
      <c r="G26" s="50" t="str">
        <f t="shared" si="3"/>
        <v/>
      </c>
      <c r="H26" s="64" t="str">
        <f t="shared" si="4"/>
        <v/>
      </c>
      <c r="I26" s="50" t="str">
        <f t="shared" si="5"/>
        <v/>
      </c>
      <c r="J26" s="50" t="str">
        <f t="shared" si="16"/>
        <v/>
      </c>
      <c r="K26" s="64" t="str">
        <f t="shared" si="6"/>
        <v/>
      </c>
      <c r="L26" s="50" t="str">
        <f t="shared" si="12"/>
        <v/>
      </c>
      <c r="M26" s="50" t="str">
        <f t="shared" si="7"/>
        <v/>
      </c>
      <c r="N26" s="50" t="str">
        <f>IF(C26="","",VLOOKUP(A26,Allowances!A:D,4,FALSE)*(IF(OR(Current_IT=0,Current_IT=0.2),1,IF(Current_IT=0.4,0.5,0))*(1-PSA_used)))</f>
        <v/>
      </c>
      <c r="O26" s="50" t="str">
        <f t="shared" si="8"/>
        <v/>
      </c>
      <c r="P26" s="50" t="str">
        <f t="shared" si="9"/>
        <v/>
      </c>
      <c r="Q26" s="50" t="str">
        <f>IF(C26="","",VLOOKUP(A26,Allowances!A:D,3,FALSE)*(1-Div_used))</f>
        <v/>
      </c>
      <c r="R26" s="50" t="str">
        <f t="shared" si="10"/>
        <v/>
      </c>
      <c r="S26" s="50" t="str">
        <f t="shared" si="13"/>
        <v/>
      </c>
      <c r="T26" s="64" t="str">
        <f t="shared" si="11"/>
        <v/>
      </c>
      <c r="U26" s="45">
        <v>17</v>
      </c>
      <c r="V26" s="55"/>
    </row>
    <row r="27" spans="1:22" x14ac:dyDescent="0.25">
      <c r="A27" s="45" t="str">
        <f t="shared" ca="1" si="0"/>
        <v/>
      </c>
      <c r="B27" s="54" t="e">
        <f t="shared" ca="1" si="14"/>
        <v>#VALUE!</v>
      </c>
      <c r="C27" s="46" t="str">
        <f t="shared" si="1"/>
        <v/>
      </c>
      <c r="D27" s="50" t="str">
        <f t="shared" si="15"/>
        <v/>
      </c>
      <c r="E27" s="50" t="str">
        <f t="shared" si="2"/>
        <v/>
      </c>
      <c r="F27" s="50" t="str">
        <f>IF(C27="","",VLOOKUP(A27,Allowances!A:B,2,FALSE)*(1-CGT_used))</f>
        <v/>
      </c>
      <c r="G27" s="50" t="str">
        <f t="shared" si="3"/>
        <v/>
      </c>
      <c r="H27" s="64" t="str">
        <f t="shared" si="4"/>
        <v/>
      </c>
      <c r="I27" s="50" t="str">
        <f t="shared" si="5"/>
        <v/>
      </c>
      <c r="J27" s="50" t="str">
        <f t="shared" si="16"/>
        <v/>
      </c>
      <c r="K27" s="64" t="str">
        <f t="shared" si="6"/>
        <v/>
      </c>
      <c r="L27" s="50" t="str">
        <f t="shared" si="12"/>
        <v/>
      </c>
      <c r="M27" s="50" t="str">
        <f t="shared" si="7"/>
        <v/>
      </c>
      <c r="N27" s="50" t="str">
        <f>IF(C27="","",VLOOKUP(A27,Allowances!A:D,4,FALSE)*(IF(OR(Current_IT=0,Current_IT=0.2),1,IF(Current_IT=0.4,0.5,0))*(1-PSA_used)))</f>
        <v/>
      </c>
      <c r="O27" s="50" t="str">
        <f t="shared" si="8"/>
        <v/>
      </c>
      <c r="P27" s="50" t="str">
        <f t="shared" si="9"/>
        <v/>
      </c>
      <c r="Q27" s="50" t="str">
        <f>IF(C27="","",VLOOKUP(A27,Allowances!A:D,3,FALSE)*(1-Div_used))</f>
        <v/>
      </c>
      <c r="R27" s="50" t="str">
        <f t="shared" si="10"/>
        <v/>
      </c>
      <c r="S27" s="50" t="str">
        <f t="shared" si="13"/>
        <v/>
      </c>
      <c r="T27" s="64" t="str">
        <f t="shared" si="11"/>
        <v/>
      </c>
      <c r="U27" s="45">
        <v>18</v>
      </c>
      <c r="V27" s="55"/>
    </row>
    <row r="28" spans="1:22" x14ac:dyDescent="0.25">
      <c r="A28" s="45" t="str">
        <f t="shared" ca="1" si="0"/>
        <v/>
      </c>
      <c r="B28" s="54" t="e">
        <f t="shared" ca="1" si="14"/>
        <v>#VALUE!</v>
      </c>
      <c r="C28" s="46" t="str">
        <f t="shared" si="1"/>
        <v/>
      </c>
      <c r="D28" s="50" t="str">
        <f t="shared" si="15"/>
        <v/>
      </c>
      <c r="E28" s="50" t="str">
        <f t="shared" si="2"/>
        <v/>
      </c>
      <c r="F28" s="50" t="str">
        <f>IF(C28="","",VLOOKUP(A28,Allowances!A:B,2,FALSE)*(1-CGT_used))</f>
        <v/>
      </c>
      <c r="G28" s="50" t="str">
        <f t="shared" si="3"/>
        <v/>
      </c>
      <c r="H28" s="64" t="str">
        <f t="shared" si="4"/>
        <v/>
      </c>
      <c r="I28" s="50" t="str">
        <f t="shared" si="5"/>
        <v/>
      </c>
      <c r="J28" s="50" t="str">
        <f t="shared" si="16"/>
        <v/>
      </c>
      <c r="K28" s="64" t="str">
        <f t="shared" si="6"/>
        <v/>
      </c>
      <c r="L28" s="50" t="str">
        <f t="shared" si="12"/>
        <v/>
      </c>
      <c r="M28" s="50" t="str">
        <f t="shared" si="7"/>
        <v/>
      </c>
      <c r="N28" s="50" t="str">
        <f>IF(C28="","",VLOOKUP(A28,Allowances!A:D,4,FALSE)*(IF(OR(Current_IT=0,Current_IT=0.2),1,IF(Current_IT=0.4,0.5,0))*(1-PSA_used)))</f>
        <v/>
      </c>
      <c r="O28" s="50" t="str">
        <f t="shared" si="8"/>
        <v/>
      </c>
      <c r="P28" s="50" t="str">
        <f t="shared" si="9"/>
        <v/>
      </c>
      <c r="Q28" s="50" t="str">
        <f>IF(C28="","",VLOOKUP(A28,Allowances!A:D,3,FALSE)*(1-Div_used))</f>
        <v/>
      </c>
      <c r="R28" s="50" t="str">
        <f t="shared" si="10"/>
        <v/>
      </c>
      <c r="S28" s="50" t="str">
        <f t="shared" si="13"/>
        <v/>
      </c>
      <c r="T28" s="64" t="str">
        <f t="shared" si="11"/>
        <v/>
      </c>
      <c r="U28" s="45">
        <v>19</v>
      </c>
      <c r="V28" s="55"/>
    </row>
    <row r="29" spans="1:22" x14ac:dyDescent="0.25">
      <c r="A29" s="45" t="str">
        <f t="shared" ca="1" si="0"/>
        <v/>
      </c>
      <c r="B29" s="54" t="e">
        <f t="shared" ca="1" si="14"/>
        <v>#VALUE!</v>
      </c>
      <c r="C29" s="46" t="str">
        <f t="shared" si="1"/>
        <v/>
      </c>
      <c r="D29" s="50" t="str">
        <f t="shared" si="15"/>
        <v/>
      </c>
      <c r="E29" s="50" t="str">
        <f t="shared" si="2"/>
        <v/>
      </c>
      <c r="F29" s="50" t="str">
        <f>IF(C29="","",VLOOKUP(A29,Allowances!A:B,2,FALSE)*(1-CGT_used))</f>
        <v/>
      </c>
      <c r="G29" s="50" t="str">
        <f t="shared" si="3"/>
        <v/>
      </c>
      <c r="H29" s="64" t="str">
        <f t="shared" si="4"/>
        <v/>
      </c>
      <c r="I29" s="50" t="str">
        <f t="shared" si="5"/>
        <v/>
      </c>
      <c r="J29" s="50" t="str">
        <f t="shared" si="16"/>
        <v/>
      </c>
      <c r="K29" s="64" t="str">
        <f t="shared" si="6"/>
        <v/>
      </c>
      <c r="L29" s="50" t="str">
        <f t="shared" si="12"/>
        <v/>
      </c>
      <c r="M29" s="50" t="str">
        <f t="shared" si="7"/>
        <v/>
      </c>
      <c r="N29" s="50" t="str">
        <f>IF(C29="","",VLOOKUP(A29,Allowances!A:D,4,FALSE)*(IF(OR(Current_IT=0,Current_IT=0.2),1,IF(Current_IT=0.4,0.5,0))*(1-PSA_used)))</f>
        <v/>
      </c>
      <c r="O29" s="50" t="str">
        <f t="shared" si="8"/>
        <v/>
      </c>
      <c r="P29" s="50" t="str">
        <f t="shared" si="9"/>
        <v/>
      </c>
      <c r="Q29" s="50" t="str">
        <f>IF(C29="","",VLOOKUP(A29,Allowances!A:D,3,FALSE)*(1-Div_used))</f>
        <v/>
      </c>
      <c r="R29" s="50" t="str">
        <f t="shared" si="10"/>
        <v/>
      </c>
      <c r="S29" s="50" t="str">
        <f t="shared" si="13"/>
        <v/>
      </c>
      <c r="T29" s="64" t="str">
        <f t="shared" si="11"/>
        <v/>
      </c>
      <c r="U29" s="45">
        <v>20</v>
      </c>
      <c r="V29" s="55"/>
    </row>
    <row r="30" spans="1:22" x14ac:dyDescent="0.25">
      <c r="B30" s="12"/>
      <c r="C30" s="47"/>
      <c r="D30" s="47"/>
      <c r="E30" s="47"/>
      <c r="F30" s="52" cm="1">
        <f t="array" aca="1" ref="F30" ca="1">LOOKUP(2,1/(F10:F29&lt;&gt;""),F10:F29)</f>
        <v>3518</v>
      </c>
      <c r="G30" s="51">
        <f>SUM(G10:G29)</f>
        <v>0</v>
      </c>
      <c r="H30" s="52" cm="1">
        <f t="array" aca="1" ref="H30" ca="1">LOOKUP(2,1/(H10:H29&lt;&gt;""),H10:H29)</f>
        <v>0</v>
      </c>
      <c r="I30" s="51">
        <f ca="1">SUM(I10:I29)</f>
        <v>0</v>
      </c>
      <c r="J30" s="47"/>
      <c r="K30" s="47"/>
      <c r="L30" s="52" cm="1">
        <f t="array" aca="1" ref="L30" ca="1">LOOKUP(2,1/(L10:L29&lt;&gt;""),L10:L29)</f>
        <v>0</v>
      </c>
      <c r="M30" s="47"/>
      <c r="N30" s="52" cm="1">
        <f t="array" aca="1" ref="N30" ca="1">LOOKUP(2,1/(N10:N29&lt;&gt;""),N10:N29)</f>
        <v>1176</v>
      </c>
      <c r="O30" s="51">
        <f ca="1">SUM(O10:O29)</f>
        <v>0</v>
      </c>
      <c r="P30" s="47"/>
      <c r="Q30" s="47"/>
      <c r="R30" s="51">
        <f ca="1">SUM(R10:R29)</f>
        <v>0</v>
      </c>
      <c r="S30" s="51">
        <f ca="1">SUM(S10:S29)</f>
        <v>0</v>
      </c>
      <c r="T30" s="52" cm="1">
        <f t="array" ref="T30">LOOKUP(2,1/(T10:T29&lt;&gt;""),T10:T29)</f>
        <v>100000</v>
      </c>
      <c r="V30" s="14"/>
    </row>
    <row r="31" spans="1:22" x14ac:dyDescent="0.25">
      <c r="B31" s="12"/>
      <c r="C31" s="47"/>
      <c r="D31" s="47"/>
      <c r="E31" s="47"/>
      <c r="F31" s="47"/>
      <c r="G31" s="47"/>
      <c r="H31" s="47"/>
      <c r="I31" s="47"/>
      <c r="J31" s="47"/>
      <c r="K31" s="47"/>
      <c r="L31" s="47"/>
      <c r="M31" s="47"/>
      <c r="N31" s="47"/>
      <c r="O31" s="47"/>
      <c r="P31" s="47"/>
      <c r="Q31" s="47"/>
      <c r="R31" s="47"/>
      <c r="S31" s="47"/>
      <c r="T31" s="47"/>
      <c r="V31" s="14"/>
    </row>
    <row r="32" spans="1:22" x14ac:dyDescent="0.25">
      <c r="B32" s="12"/>
      <c r="C32" s="58" t="s">
        <v>11</v>
      </c>
      <c r="D32" s="47"/>
      <c r="E32" s="47"/>
      <c r="F32" s="47"/>
      <c r="G32" s="47"/>
      <c r="H32" s="47"/>
      <c r="I32" s="47"/>
      <c r="J32" s="47"/>
      <c r="K32" s="47"/>
      <c r="L32" s="47"/>
      <c r="M32" s="47"/>
      <c r="N32" s="47"/>
      <c r="O32" s="47"/>
      <c r="P32" s="47"/>
      <c r="Q32" s="47"/>
      <c r="R32" s="47"/>
      <c r="S32" s="47"/>
      <c r="T32" s="47"/>
      <c r="V32" s="14"/>
    </row>
    <row r="33" spans="1:23" x14ac:dyDescent="0.25">
      <c r="B33" s="12"/>
      <c r="C33" s="47"/>
      <c r="D33" s="47"/>
      <c r="E33" s="47"/>
      <c r="F33" s="47"/>
      <c r="G33" s="47"/>
      <c r="H33" s="47"/>
      <c r="I33" s="47"/>
      <c r="J33" s="47"/>
      <c r="K33" s="47"/>
      <c r="L33" s="47"/>
      <c r="M33" s="47"/>
      <c r="N33" s="47"/>
      <c r="O33" s="47"/>
      <c r="P33" s="47"/>
      <c r="Q33" s="47"/>
      <c r="R33" s="47"/>
      <c r="S33" s="47"/>
      <c r="T33" s="47"/>
      <c r="V33" s="14"/>
    </row>
    <row r="34" spans="1:23" ht="15" customHeight="1" x14ac:dyDescent="0.25">
      <c r="B34" s="12"/>
      <c r="C34" s="44" t="s">
        <v>59</v>
      </c>
      <c r="D34" s="44" t="s">
        <v>60</v>
      </c>
      <c r="E34" s="44" t="s">
        <v>20</v>
      </c>
      <c r="F34" s="44" t="s">
        <v>71</v>
      </c>
      <c r="G34" s="44" t="s">
        <v>66</v>
      </c>
      <c r="H34" s="44" t="s">
        <v>72</v>
      </c>
      <c r="I34" s="44" t="s">
        <v>67</v>
      </c>
      <c r="J34" s="44" t="s">
        <v>71</v>
      </c>
      <c r="K34" s="44" t="s">
        <v>100</v>
      </c>
      <c r="L34" s="44" t="s">
        <v>17</v>
      </c>
      <c r="M34" s="44" t="s">
        <v>121</v>
      </c>
      <c r="N34" s="44" t="s">
        <v>97</v>
      </c>
      <c r="O34" s="80"/>
      <c r="P34" s="86" t="s">
        <v>95</v>
      </c>
      <c r="Q34" s="86"/>
      <c r="R34" s="86"/>
      <c r="S34" s="86"/>
      <c r="T34" s="86"/>
      <c r="U34" s="86"/>
      <c r="V34" s="76"/>
      <c r="W34" s="65"/>
    </row>
    <row r="35" spans="1:23" ht="15" customHeight="1" x14ac:dyDescent="0.25">
      <c r="A35" s="49"/>
      <c r="B35" s="53">
        <v>1</v>
      </c>
      <c r="C35" s="46">
        <f t="shared" ref="C35:C54" si="17">IF(B35&lt;=Term,B35,"")</f>
        <v>1</v>
      </c>
      <c r="D35" s="50">
        <f>initial_investment</f>
        <v>100000</v>
      </c>
      <c r="E35" s="50">
        <f t="shared" ref="E35:E54" si="18">IF(C35="","",D35*Cap_return)</f>
        <v>0</v>
      </c>
      <c r="F35" s="50">
        <f t="shared" ref="F35:F54" si="19">IFERROR(E35*off_rate,"")</f>
        <v>0</v>
      </c>
      <c r="G35" s="50">
        <f t="shared" ref="G35:G54" si="20">IF(C35="","",D35*Int_return)</f>
        <v>0</v>
      </c>
      <c r="H35" s="50">
        <f t="shared" ref="H35:H54" si="21">IFERROR(G35*off_rate,"")</f>
        <v>0</v>
      </c>
      <c r="I35" s="50">
        <f t="shared" ref="I35:I54" si="22">IF(C35="","",D35*Div_return)</f>
        <v>0</v>
      </c>
      <c r="J35" s="50">
        <f t="shared" ref="J35:J54" si="23">IFERROR(I35*off_rate,"")</f>
        <v>0</v>
      </c>
      <c r="K35" s="50">
        <f>IF(C35="","",SUM(F35,H35,J35))</f>
        <v>0</v>
      </c>
      <c r="L35" s="50">
        <f t="shared" ref="L35:L54" si="24">IF(C35="","",IF(Withdrawal_amnt&lt;=D35+E35+G35+I35-F35-H35-J35,Withdrawal_amnt,0))</f>
        <v>0</v>
      </c>
      <c r="M35" s="50">
        <f ca="1">IF(C35="","",IF(C35=Term,0,IF(OR(Current_IT=0,Current_IT=0.2),Allowances!H16*IF(B35&gt;2027,Future_IT,Current_IT),Allowances!H16*IF(B35&gt;2027,Future_IT,Current_IT))))</f>
        <v>0</v>
      </c>
      <c r="N35" s="64">
        <f t="shared" ref="N35:N54" si="25">IFERROR(MAX(0,D35*(1+Total_annual_return)-K35-L35),"")</f>
        <v>100000</v>
      </c>
      <c r="O35" s="80"/>
      <c r="P35" s="86"/>
      <c r="Q35" s="86"/>
      <c r="R35" s="86"/>
      <c r="S35" s="86"/>
      <c r="T35" s="86"/>
      <c r="U35" s="86"/>
      <c r="V35" s="76"/>
    </row>
    <row r="36" spans="1:23" ht="15" customHeight="1" x14ac:dyDescent="0.25">
      <c r="A36" s="49"/>
      <c r="B36" s="53">
        <v>2</v>
      </c>
      <c r="C36" s="46">
        <f t="shared" si="17"/>
        <v>2</v>
      </c>
      <c r="D36" s="50">
        <f>IF(C36="","",N35)</f>
        <v>100000</v>
      </c>
      <c r="E36" s="50">
        <f t="shared" si="18"/>
        <v>0</v>
      </c>
      <c r="F36" s="50">
        <f t="shared" si="19"/>
        <v>0</v>
      </c>
      <c r="G36" s="50">
        <f t="shared" si="20"/>
        <v>0</v>
      </c>
      <c r="H36" s="50">
        <f t="shared" si="21"/>
        <v>0</v>
      </c>
      <c r="I36" s="50">
        <f t="shared" si="22"/>
        <v>0</v>
      </c>
      <c r="J36" s="50">
        <f t="shared" si="23"/>
        <v>0</v>
      </c>
      <c r="K36" s="50">
        <f t="shared" ref="K36:K54" si="26">IF(C36="","",SUM(F36,H36,J36))</f>
        <v>0</v>
      </c>
      <c r="L36" s="50">
        <f t="shared" si="24"/>
        <v>0</v>
      </c>
      <c r="M36" s="50">
        <f ca="1">IF(C36="","",IF(C36=Term,0,IF(OR(Current_IT=0,Current_IT=0.2),Allowances!H17*IF(B36&gt;2027,Future_IT,Current_IT),Allowances!H17*IF(B36&gt;2027,Future_IT,Current_IT))))</f>
        <v>0</v>
      </c>
      <c r="N36" s="64">
        <f t="shared" si="25"/>
        <v>100000</v>
      </c>
      <c r="O36" s="80"/>
      <c r="P36" s="86"/>
      <c r="Q36" s="86"/>
      <c r="R36" s="86"/>
      <c r="S36" s="86"/>
      <c r="T36" s="86"/>
      <c r="U36" s="86"/>
      <c r="V36" s="76"/>
    </row>
    <row r="37" spans="1:23" ht="15" customHeight="1" x14ac:dyDescent="0.25">
      <c r="A37" s="49"/>
      <c r="B37" s="53">
        <v>3</v>
      </c>
      <c r="C37" s="46">
        <f t="shared" si="17"/>
        <v>3</v>
      </c>
      <c r="D37" s="50">
        <f t="shared" ref="D37:D54" si="27">IF(C37="","",N36)</f>
        <v>100000</v>
      </c>
      <c r="E37" s="50">
        <f t="shared" si="18"/>
        <v>0</v>
      </c>
      <c r="F37" s="50">
        <f t="shared" si="19"/>
        <v>0</v>
      </c>
      <c r="G37" s="50">
        <f t="shared" si="20"/>
        <v>0</v>
      </c>
      <c r="H37" s="50">
        <f t="shared" si="21"/>
        <v>0</v>
      </c>
      <c r="I37" s="50">
        <f t="shared" si="22"/>
        <v>0</v>
      </c>
      <c r="J37" s="50">
        <f t="shared" si="23"/>
        <v>0</v>
      </c>
      <c r="K37" s="50">
        <f t="shared" si="26"/>
        <v>0</v>
      </c>
      <c r="L37" s="50">
        <f t="shared" si="24"/>
        <v>0</v>
      </c>
      <c r="M37" s="50">
        <f ca="1">IF(C37="","",IF(C37=Term,0,IF(OR(Current_IT=0,Current_IT=0.2),Allowances!H18*IF(B37&gt;2027,Future_IT,Current_IT),Allowances!H18*IF(B37&gt;2027,Future_IT,Current_IT))))</f>
        <v>0</v>
      </c>
      <c r="N37" s="64">
        <f t="shared" si="25"/>
        <v>100000</v>
      </c>
      <c r="O37" s="80"/>
      <c r="P37" s="86"/>
      <c r="Q37" s="86"/>
      <c r="R37" s="86"/>
      <c r="S37" s="86"/>
      <c r="T37" s="86"/>
      <c r="U37" s="86"/>
      <c r="V37" s="76"/>
    </row>
    <row r="38" spans="1:23" ht="15" customHeight="1" x14ac:dyDescent="0.25">
      <c r="A38" s="49"/>
      <c r="B38" s="53">
        <v>4</v>
      </c>
      <c r="C38" s="46">
        <f t="shared" si="17"/>
        <v>4</v>
      </c>
      <c r="D38" s="50">
        <f t="shared" si="27"/>
        <v>100000</v>
      </c>
      <c r="E38" s="50">
        <f t="shared" si="18"/>
        <v>0</v>
      </c>
      <c r="F38" s="50">
        <f t="shared" si="19"/>
        <v>0</v>
      </c>
      <c r="G38" s="50">
        <f t="shared" si="20"/>
        <v>0</v>
      </c>
      <c r="H38" s="50">
        <f t="shared" si="21"/>
        <v>0</v>
      </c>
      <c r="I38" s="50">
        <f t="shared" si="22"/>
        <v>0</v>
      </c>
      <c r="J38" s="50">
        <f t="shared" si="23"/>
        <v>0</v>
      </c>
      <c r="K38" s="50">
        <f t="shared" si="26"/>
        <v>0</v>
      </c>
      <c r="L38" s="50">
        <f t="shared" si="24"/>
        <v>0</v>
      </c>
      <c r="M38" s="50">
        <f ca="1">IF(C38="","",IF(C38=Term,0,IF(OR(Current_IT=0,Current_IT=0.2),Allowances!H19*IF(B38&gt;2027,Future_IT,Current_IT),Allowances!H19*IF(B38&gt;2027,Future_IT,Current_IT))))</f>
        <v>0</v>
      </c>
      <c r="N38" s="64">
        <f t="shared" si="25"/>
        <v>100000</v>
      </c>
      <c r="O38" s="80"/>
      <c r="P38" s="86"/>
      <c r="Q38" s="86"/>
      <c r="R38" s="86"/>
      <c r="S38" s="86"/>
      <c r="T38" s="86"/>
      <c r="U38" s="86"/>
      <c r="V38" s="76"/>
    </row>
    <row r="39" spans="1:23" ht="15" customHeight="1" x14ac:dyDescent="0.25">
      <c r="A39" s="49"/>
      <c r="B39" s="53">
        <v>5</v>
      </c>
      <c r="C39" s="46">
        <f t="shared" si="17"/>
        <v>5</v>
      </c>
      <c r="D39" s="50">
        <f t="shared" si="27"/>
        <v>100000</v>
      </c>
      <c r="E39" s="50">
        <f t="shared" si="18"/>
        <v>0</v>
      </c>
      <c r="F39" s="50">
        <f t="shared" si="19"/>
        <v>0</v>
      </c>
      <c r="G39" s="50">
        <f t="shared" si="20"/>
        <v>0</v>
      </c>
      <c r="H39" s="50">
        <f t="shared" si="21"/>
        <v>0</v>
      </c>
      <c r="I39" s="50">
        <f t="shared" si="22"/>
        <v>0</v>
      </c>
      <c r="J39" s="50">
        <f t="shared" si="23"/>
        <v>0</v>
      </c>
      <c r="K39" s="50">
        <f t="shared" si="26"/>
        <v>0</v>
      </c>
      <c r="L39" s="50">
        <f t="shared" si="24"/>
        <v>0</v>
      </c>
      <c r="M39" s="50">
        <f ca="1">IF(C39="","",IF(C39=Term,0,IF(OR(Current_IT=0,Current_IT=0.2),Allowances!H20*IF(B39&gt;2027,Future_IT,Current_IT),Allowances!H20*IF(B39&gt;2027,Future_IT,Current_IT))))</f>
        <v>0</v>
      </c>
      <c r="N39" s="64">
        <f t="shared" si="25"/>
        <v>100000</v>
      </c>
      <c r="O39" s="80"/>
      <c r="P39" s="86"/>
      <c r="Q39" s="86"/>
      <c r="R39" s="86"/>
      <c r="S39" s="86"/>
      <c r="T39" s="86"/>
      <c r="U39" s="86"/>
      <c r="V39" s="76"/>
    </row>
    <row r="40" spans="1:23" ht="15" customHeight="1" x14ac:dyDescent="0.25">
      <c r="A40" s="49"/>
      <c r="B40" s="53">
        <v>6</v>
      </c>
      <c r="C40" s="46">
        <f t="shared" si="17"/>
        <v>6</v>
      </c>
      <c r="D40" s="50">
        <f t="shared" si="27"/>
        <v>100000</v>
      </c>
      <c r="E40" s="50">
        <f t="shared" si="18"/>
        <v>0</v>
      </c>
      <c r="F40" s="50">
        <f t="shared" si="19"/>
        <v>0</v>
      </c>
      <c r="G40" s="50">
        <f t="shared" si="20"/>
        <v>0</v>
      </c>
      <c r="H40" s="50">
        <f t="shared" si="21"/>
        <v>0</v>
      </c>
      <c r="I40" s="50">
        <f t="shared" si="22"/>
        <v>0</v>
      </c>
      <c r="J40" s="50">
        <f t="shared" si="23"/>
        <v>0</v>
      </c>
      <c r="K40" s="50">
        <f t="shared" si="26"/>
        <v>0</v>
      </c>
      <c r="L40" s="50">
        <f t="shared" si="24"/>
        <v>0</v>
      </c>
      <c r="M40" s="50">
        <f ca="1">IF(C40="","",IF(C40=Term,0,IF(OR(Current_IT=0,Current_IT=0.2),Allowances!H21*IF(B40&gt;2027,Future_IT,Current_IT),Allowances!H21*IF(B40&gt;2027,Future_IT,Current_IT))))</f>
        <v>0</v>
      </c>
      <c r="N40" s="64">
        <f t="shared" si="25"/>
        <v>100000</v>
      </c>
      <c r="O40" s="80"/>
      <c r="P40" s="86"/>
      <c r="Q40" s="86"/>
      <c r="R40" s="86"/>
      <c r="S40" s="86"/>
      <c r="T40" s="86"/>
      <c r="U40" s="86"/>
      <c r="V40" s="76"/>
    </row>
    <row r="41" spans="1:23" ht="15" customHeight="1" x14ac:dyDescent="0.25">
      <c r="A41" s="49"/>
      <c r="B41" s="53">
        <v>7</v>
      </c>
      <c r="C41" s="46">
        <f t="shared" si="17"/>
        <v>7</v>
      </c>
      <c r="D41" s="50">
        <f t="shared" si="27"/>
        <v>100000</v>
      </c>
      <c r="E41" s="50">
        <f t="shared" si="18"/>
        <v>0</v>
      </c>
      <c r="F41" s="50">
        <f t="shared" si="19"/>
        <v>0</v>
      </c>
      <c r="G41" s="50">
        <f t="shared" si="20"/>
        <v>0</v>
      </c>
      <c r="H41" s="50">
        <f t="shared" si="21"/>
        <v>0</v>
      </c>
      <c r="I41" s="50">
        <f t="shared" si="22"/>
        <v>0</v>
      </c>
      <c r="J41" s="50">
        <f t="shared" si="23"/>
        <v>0</v>
      </c>
      <c r="K41" s="50">
        <f t="shared" si="26"/>
        <v>0</v>
      </c>
      <c r="L41" s="50">
        <f t="shared" si="24"/>
        <v>0</v>
      </c>
      <c r="M41" s="50">
        <f ca="1">IF(C41="","",IF(C41=Term,0,IF(OR(Current_IT=0,Current_IT=0.2),Allowances!H22*IF(B41&gt;2027,Future_IT,Current_IT),Allowances!H22*IF(B41&gt;2027,Future_IT,Current_IT))))</f>
        <v>0</v>
      </c>
      <c r="N41" s="64">
        <f t="shared" si="25"/>
        <v>100000</v>
      </c>
      <c r="O41" s="80"/>
      <c r="P41" s="47"/>
      <c r="Q41" s="47"/>
      <c r="R41" s="47"/>
      <c r="S41" s="47"/>
      <c r="V41" s="14"/>
    </row>
    <row r="42" spans="1:23" ht="15" customHeight="1" x14ac:dyDescent="0.25">
      <c r="A42" s="49"/>
      <c r="B42" s="53">
        <v>8</v>
      </c>
      <c r="C42" s="46">
        <f t="shared" si="17"/>
        <v>8</v>
      </c>
      <c r="D42" s="50">
        <f t="shared" si="27"/>
        <v>100000</v>
      </c>
      <c r="E42" s="50">
        <f t="shared" si="18"/>
        <v>0</v>
      </c>
      <c r="F42" s="50">
        <f t="shared" si="19"/>
        <v>0</v>
      </c>
      <c r="G42" s="50">
        <f t="shared" si="20"/>
        <v>0</v>
      </c>
      <c r="H42" s="50">
        <f t="shared" si="21"/>
        <v>0</v>
      </c>
      <c r="I42" s="50">
        <f t="shared" si="22"/>
        <v>0</v>
      </c>
      <c r="J42" s="50">
        <f t="shared" si="23"/>
        <v>0</v>
      </c>
      <c r="K42" s="50">
        <f t="shared" si="26"/>
        <v>0</v>
      </c>
      <c r="L42" s="50">
        <f t="shared" si="24"/>
        <v>0</v>
      </c>
      <c r="M42" s="50">
        <f ca="1">IF(C42="","",IF(C42=Term,0,IF(OR(Current_IT=0,Current_IT=0.2),Allowances!H23*IF(B42&gt;2027,Future_IT,Current_IT),Allowances!H23*IF(B42&gt;2027,Future_IT,Current_IT))))</f>
        <v>0</v>
      </c>
      <c r="N42" s="64">
        <f t="shared" si="25"/>
        <v>100000</v>
      </c>
      <c r="O42" s="80"/>
      <c r="P42" s="87" t="s">
        <v>105</v>
      </c>
      <c r="Q42" s="87"/>
      <c r="R42" s="87"/>
      <c r="S42" s="87"/>
      <c r="T42" s="87"/>
      <c r="U42" s="87"/>
      <c r="V42" s="77"/>
    </row>
    <row r="43" spans="1:23" x14ac:dyDescent="0.25">
      <c r="A43" s="49"/>
      <c r="B43" s="53">
        <v>9</v>
      </c>
      <c r="C43" s="46">
        <f t="shared" si="17"/>
        <v>9</v>
      </c>
      <c r="D43" s="50">
        <f t="shared" si="27"/>
        <v>100000</v>
      </c>
      <c r="E43" s="50">
        <f t="shared" si="18"/>
        <v>0</v>
      </c>
      <c r="F43" s="50">
        <f t="shared" si="19"/>
        <v>0</v>
      </c>
      <c r="G43" s="50">
        <f t="shared" si="20"/>
        <v>0</v>
      </c>
      <c r="H43" s="50">
        <f t="shared" si="21"/>
        <v>0</v>
      </c>
      <c r="I43" s="50">
        <f t="shared" si="22"/>
        <v>0</v>
      </c>
      <c r="J43" s="50">
        <f t="shared" si="23"/>
        <v>0</v>
      </c>
      <c r="K43" s="50">
        <f t="shared" si="26"/>
        <v>0</v>
      </c>
      <c r="L43" s="50">
        <f t="shared" si="24"/>
        <v>0</v>
      </c>
      <c r="M43" s="50">
        <f ca="1">IF(C43="","",IF(C43=Term,0,IF(OR(Current_IT=0,Current_IT=0.2),Allowances!H24*IF(B43&gt;2027,Future_IT,Current_IT),Allowances!H24*IF(B43&gt;2027,Future_IT,Current_IT))))</f>
        <v>0</v>
      </c>
      <c r="N43" s="64">
        <f t="shared" si="25"/>
        <v>100000</v>
      </c>
      <c r="O43" s="80"/>
      <c r="P43" s="87"/>
      <c r="Q43" s="87"/>
      <c r="R43" s="87"/>
      <c r="S43" s="87"/>
      <c r="T43" s="87"/>
      <c r="U43" s="87"/>
      <c r="V43" s="77"/>
    </row>
    <row r="44" spans="1:23" x14ac:dyDescent="0.25">
      <c r="A44" s="49"/>
      <c r="B44" s="53">
        <v>10</v>
      </c>
      <c r="C44" s="46">
        <f t="shared" si="17"/>
        <v>10</v>
      </c>
      <c r="D44" s="50">
        <f t="shared" si="27"/>
        <v>100000</v>
      </c>
      <c r="E44" s="50">
        <f t="shared" si="18"/>
        <v>0</v>
      </c>
      <c r="F44" s="50">
        <f t="shared" si="19"/>
        <v>0</v>
      </c>
      <c r="G44" s="50">
        <f t="shared" si="20"/>
        <v>0</v>
      </c>
      <c r="H44" s="50">
        <f t="shared" si="21"/>
        <v>0</v>
      </c>
      <c r="I44" s="50">
        <f t="shared" si="22"/>
        <v>0</v>
      </c>
      <c r="J44" s="50">
        <f t="shared" si="23"/>
        <v>0</v>
      </c>
      <c r="K44" s="50">
        <f t="shared" si="26"/>
        <v>0</v>
      </c>
      <c r="L44" s="50">
        <f t="shared" si="24"/>
        <v>0</v>
      </c>
      <c r="M44" s="50">
        <f>IF(C44="","",IF(C44=Term,0,IF(OR(Current_IT=0,Current_IT=0.2),Allowances!H25*IF(B44&gt;2027,Future_IT,Current_IT),Allowances!H25*IF(B44&gt;2027,Future_IT,Current_IT))))</f>
        <v>0</v>
      </c>
      <c r="N44" s="64">
        <f t="shared" si="25"/>
        <v>100000</v>
      </c>
      <c r="O44" s="80"/>
      <c r="P44" s="87"/>
      <c r="Q44" s="87"/>
      <c r="R44" s="87"/>
      <c r="S44" s="87"/>
      <c r="T44" s="87"/>
      <c r="U44" s="87"/>
      <c r="V44" s="77"/>
    </row>
    <row r="45" spans="1:23" x14ac:dyDescent="0.25">
      <c r="A45" s="49"/>
      <c r="B45" s="53">
        <v>11</v>
      </c>
      <c r="C45" s="46" t="str">
        <f t="shared" si="17"/>
        <v/>
      </c>
      <c r="D45" s="50" t="str">
        <f t="shared" si="27"/>
        <v/>
      </c>
      <c r="E45" s="50" t="str">
        <f t="shared" si="18"/>
        <v/>
      </c>
      <c r="F45" s="50" t="str">
        <f t="shared" si="19"/>
        <v/>
      </c>
      <c r="G45" s="50" t="str">
        <f t="shared" si="20"/>
        <v/>
      </c>
      <c r="H45" s="50" t="str">
        <f t="shared" si="21"/>
        <v/>
      </c>
      <c r="I45" s="50" t="str">
        <f t="shared" si="22"/>
        <v/>
      </c>
      <c r="J45" s="50" t="str">
        <f t="shared" si="23"/>
        <v/>
      </c>
      <c r="K45" s="50" t="str">
        <f t="shared" si="26"/>
        <v/>
      </c>
      <c r="L45" s="50" t="str">
        <f t="shared" si="24"/>
        <v/>
      </c>
      <c r="M45" s="50" t="str">
        <f>IF(C45="","",IF(C45=Term,0,IF(OR(Current_IT=0,Current_IT=0.2),Allowances!H26*IF(B45&gt;2027,Future_IT,Current_IT),Allowances!H26*IF(B45&gt;2027,Future_IT,Current_IT))))</f>
        <v/>
      </c>
      <c r="N45" s="64" t="str">
        <f t="shared" si="25"/>
        <v/>
      </c>
      <c r="O45" s="80"/>
      <c r="P45" s="87"/>
      <c r="Q45" s="87"/>
      <c r="R45" s="87"/>
      <c r="S45" s="87"/>
      <c r="T45" s="87"/>
      <c r="U45" s="87"/>
      <c r="V45" s="77"/>
    </row>
    <row r="46" spans="1:23" x14ac:dyDescent="0.25">
      <c r="A46" s="49"/>
      <c r="B46" s="53">
        <v>12</v>
      </c>
      <c r="C46" s="46" t="str">
        <f t="shared" si="17"/>
        <v/>
      </c>
      <c r="D46" s="50" t="str">
        <f t="shared" si="27"/>
        <v/>
      </c>
      <c r="E46" s="50" t="str">
        <f t="shared" si="18"/>
        <v/>
      </c>
      <c r="F46" s="50" t="str">
        <f t="shared" si="19"/>
        <v/>
      </c>
      <c r="G46" s="50" t="str">
        <f t="shared" si="20"/>
        <v/>
      </c>
      <c r="H46" s="50" t="str">
        <f t="shared" si="21"/>
        <v/>
      </c>
      <c r="I46" s="50" t="str">
        <f t="shared" si="22"/>
        <v/>
      </c>
      <c r="J46" s="50" t="str">
        <f t="shared" si="23"/>
        <v/>
      </c>
      <c r="K46" s="50" t="str">
        <f t="shared" si="26"/>
        <v/>
      </c>
      <c r="L46" s="50" t="str">
        <f t="shared" si="24"/>
        <v/>
      </c>
      <c r="M46" s="50" t="str">
        <f>IF(C46="","",IF(C46=Term,0,IF(OR(Current_IT=0,Current_IT=0.2),Allowances!H27*IF(B46&gt;2027,Future_IT,Current_IT),Allowances!H27*IF(B46&gt;2027,Future_IT,Current_IT))))</f>
        <v/>
      </c>
      <c r="N46" s="64" t="str">
        <f t="shared" si="25"/>
        <v/>
      </c>
      <c r="O46" s="80"/>
      <c r="P46" s="87"/>
      <c r="Q46" s="87"/>
      <c r="R46" s="87"/>
      <c r="S46" s="87"/>
      <c r="T46" s="87"/>
      <c r="U46" s="87"/>
      <c r="V46" s="77"/>
    </row>
    <row r="47" spans="1:23" x14ac:dyDescent="0.25">
      <c r="A47" s="49"/>
      <c r="B47" s="53">
        <v>13</v>
      </c>
      <c r="C47" s="46" t="str">
        <f t="shared" si="17"/>
        <v/>
      </c>
      <c r="D47" s="50" t="str">
        <f t="shared" si="27"/>
        <v/>
      </c>
      <c r="E47" s="50" t="str">
        <f t="shared" si="18"/>
        <v/>
      </c>
      <c r="F47" s="50" t="str">
        <f t="shared" si="19"/>
        <v/>
      </c>
      <c r="G47" s="50" t="str">
        <f t="shared" si="20"/>
        <v/>
      </c>
      <c r="H47" s="50" t="str">
        <f t="shared" si="21"/>
        <v/>
      </c>
      <c r="I47" s="50" t="str">
        <f t="shared" si="22"/>
        <v/>
      </c>
      <c r="J47" s="50" t="str">
        <f t="shared" si="23"/>
        <v/>
      </c>
      <c r="K47" s="50" t="str">
        <f t="shared" si="26"/>
        <v/>
      </c>
      <c r="L47" s="50" t="str">
        <f t="shared" si="24"/>
        <v/>
      </c>
      <c r="M47" s="50" t="str">
        <f>IF(C47="","",IF(C47=Term,0,IF(OR(Current_IT=0,Current_IT=0.2),Allowances!H28*IF(B47&gt;2027,Future_IT,Current_IT),Allowances!H28*IF(B47&gt;2027,Future_IT,Current_IT))))</f>
        <v/>
      </c>
      <c r="N47" s="64" t="str">
        <f t="shared" si="25"/>
        <v/>
      </c>
      <c r="O47" s="80"/>
      <c r="P47" s="47"/>
      <c r="Q47" s="47"/>
      <c r="R47" s="47"/>
      <c r="S47" s="47"/>
      <c r="V47" s="14"/>
    </row>
    <row r="48" spans="1:23" ht="15" customHeight="1" x14ac:dyDescent="0.25">
      <c r="A48" s="49"/>
      <c r="B48" s="53">
        <v>14</v>
      </c>
      <c r="C48" s="46" t="str">
        <f t="shared" si="17"/>
        <v/>
      </c>
      <c r="D48" s="50" t="str">
        <f t="shared" si="27"/>
        <v/>
      </c>
      <c r="E48" s="50" t="str">
        <f t="shared" si="18"/>
        <v/>
      </c>
      <c r="F48" s="50" t="str">
        <f t="shared" si="19"/>
        <v/>
      </c>
      <c r="G48" s="50" t="str">
        <f t="shared" si="20"/>
        <v/>
      </c>
      <c r="H48" s="50" t="str">
        <f t="shared" si="21"/>
        <v/>
      </c>
      <c r="I48" s="50" t="str">
        <f t="shared" si="22"/>
        <v/>
      </c>
      <c r="J48" s="50" t="str">
        <f t="shared" si="23"/>
        <v/>
      </c>
      <c r="K48" s="50" t="str">
        <f t="shared" si="26"/>
        <v/>
      </c>
      <c r="L48" s="50" t="str">
        <f t="shared" si="24"/>
        <v/>
      </c>
      <c r="M48" s="50" t="str">
        <f>IF(C48="","",IF(C48=Term,0,IF(OR(Current_IT=0,Current_IT=0.2),Allowances!H29*IF(B48&gt;2027,Future_IT,Current_IT),Allowances!H29*IF(B48&gt;2027,Future_IT,Current_IT))))</f>
        <v/>
      </c>
      <c r="N48" s="64" t="str">
        <f t="shared" si="25"/>
        <v/>
      </c>
      <c r="O48" s="80"/>
      <c r="P48" s="87" t="s">
        <v>50</v>
      </c>
      <c r="Q48" s="87"/>
      <c r="R48" s="87"/>
      <c r="S48" s="87"/>
      <c r="T48" s="87"/>
      <c r="U48" s="87"/>
      <c r="V48" s="77"/>
    </row>
    <row r="49" spans="1:22" x14ac:dyDescent="0.25">
      <c r="A49" s="49"/>
      <c r="B49" s="53">
        <v>15</v>
      </c>
      <c r="C49" s="46" t="str">
        <f t="shared" si="17"/>
        <v/>
      </c>
      <c r="D49" s="50" t="str">
        <f t="shared" si="27"/>
        <v/>
      </c>
      <c r="E49" s="50" t="str">
        <f t="shared" si="18"/>
        <v/>
      </c>
      <c r="F49" s="50" t="str">
        <f t="shared" si="19"/>
        <v/>
      </c>
      <c r="G49" s="50" t="str">
        <f t="shared" si="20"/>
        <v/>
      </c>
      <c r="H49" s="50" t="str">
        <f t="shared" si="21"/>
        <v/>
      </c>
      <c r="I49" s="50" t="str">
        <f t="shared" si="22"/>
        <v/>
      </c>
      <c r="J49" s="50" t="str">
        <f t="shared" si="23"/>
        <v/>
      </c>
      <c r="K49" s="50" t="str">
        <f t="shared" si="26"/>
        <v/>
      </c>
      <c r="L49" s="50" t="str">
        <f t="shared" si="24"/>
        <v/>
      </c>
      <c r="M49" s="50" t="str">
        <f>IF(C49="","",IF(C49=Term,0,IF(OR(Current_IT=0,Current_IT=0.2),Allowances!H30*IF(B49&gt;2027,Future_IT,Current_IT),Allowances!H30*IF(B49&gt;2027,Future_IT,Current_IT))))</f>
        <v/>
      </c>
      <c r="N49" s="64" t="str">
        <f t="shared" si="25"/>
        <v/>
      </c>
      <c r="O49" s="80"/>
      <c r="P49" s="87"/>
      <c r="Q49" s="87"/>
      <c r="R49" s="87"/>
      <c r="S49" s="87"/>
      <c r="T49" s="87"/>
      <c r="U49" s="87"/>
      <c r="V49" s="77"/>
    </row>
    <row r="50" spans="1:22" ht="15" customHeight="1" x14ac:dyDescent="0.25">
      <c r="A50" s="49"/>
      <c r="B50" s="53">
        <v>16</v>
      </c>
      <c r="C50" s="46" t="str">
        <f t="shared" si="17"/>
        <v/>
      </c>
      <c r="D50" s="50" t="str">
        <f t="shared" si="27"/>
        <v/>
      </c>
      <c r="E50" s="50" t="str">
        <f t="shared" si="18"/>
        <v/>
      </c>
      <c r="F50" s="50" t="str">
        <f t="shared" si="19"/>
        <v/>
      </c>
      <c r="G50" s="50" t="str">
        <f t="shared" si="20"/>
        <v/>
      </c>
      <c r="H50" s="50" t="str">
        <f t="shared" si="21"/>
        <v/>
      </c>
      <c r="I50" s="50" t="str">
        <f t="shared" si="22"/>
        <v/>
      </c>
      <c r="J50" s="50" t="str">
        <f t="shared" si="23"/>
        <v/>
      </c>
      <c r="K50" s="50" t="str">
        <f t="shared" si="26"/>
        <v/>
      </c>
      <c r="L50" s="50" t="str">
        <f t="shared" si="24"/>
        <v/>
      </c>
      <c r="M50" s="50" t="str">
        <f>IF(C50="","",IF(C50=Term,0,IF(OR(Current_IT=0,Current_IT=0.2),Allowances!H31*IF(B50&gt;2027,Future_IT,Current_IT),Allowances!H31*IF(B50&gt;2027,Future_IT,Current_IT))))</f>
        <v/>
      </c>
      <c r="N50" s="64" t="str">
        <f t="shared" si="25"/>
        <v/>
      </c>
      <c r="O50" s="80"/>
      <c r="P50" s="87"/>
      <c r="Q50" s="87"/>
      <c r="R50" s="87"/>
      <c r="S50" s="87"/>
      <c r="T50" s="87"/>
      <c r="U50" s="87"/>
      <c r="V50" s="14"/>
    </row>
    <row r="51" spans="1:22" ht="15" customHeight="1" x14ac:dyDescent="0.25">
      <c r="A51" s="49"/>
      <c r="B51" s="53">
        <v>17</v>
      </c>
      <c r="C51" s="46" t="str">
        <f t="shared" si="17"/>
        <v/>
      </c>
      <c r="D51" s="50" t="str">
        <f t="shared" si="27"/>
        <v/>
      </c>
      <c r="E51" s="50" t="str">
        <f t="shared" si="18"/>
        <v/>
      </c>
      <c r="F51" s="50" t="str">
        <f t="shared" si="19"/>
        <v/>
      </c>
      <c r="G51" s="50" t="str">
        <f t="shared" si="20"/>
        <v/>
      </c>
      <c r="H51" s="50" t="str">
        <f t="shared" si="21"/>
        <v/>
      </c>
      <c r="I51" s="50" t="str">
        <f t="shared" si="22"/>
        <v/>
      </c>
      <c r="J51" s="50" t="str">
        <f t="shared" si="23"/>
        <v/>
      </c>
      <c r="K51" s="50" t="str">
        <f t="shared" si="26"/>
        <v/>
      </c>
      <c r="L51" s="50" t="str">
        <f t="shared" si="24"/>
        <v/>
      </c>
      <c r="M51" s="50" t="str">
        <f>IF(C51="","",IF(C51=Term,0,IF(OR(Current_IT=0,Current_IT=0.2),Allowances!H32*IF(B51&gt;2027,Future_IT,Current_IT),Allowances!H32*IF(B51&gt;2027,Future_IT,Current_IT))))</f>
        <v/>
      </c>
      <c r="N51" s="64" t="str">
        <f t="shared" si="25"/>
        <v/>
      </c>
      <c r="O51" s="80"/>
      <c r="P51" s="87" t="s">
        <v>96</v>
      </c>
      <c r="Q51" s="87"/>
      <c r="R51" s="87"/>
      <c r="S51" s="87"/>
      <c r="T51" s="87"/>
      <c r="U51" s="87"/>
      <c r="V51" s="78"/>
    </row>
    <row r="52" spans="1:22" x14ac:dyDescent="0.25">
      <c r="A52" s="49"/>
      <c r="B52" s="53">
        <v>18</v>
      </c>
      <c r="C52" s="46" t="str">
        <f t="shared" si="17"/>
        <v/>
      </c>
      <c r="D52" s="50" t="str">
        <f t="shared" si="27"/>
        <v/>
      </c>
      <c r="E52" s="50" t="str">
        <f t="shared" si="18"/>
        <v/>
      </c>
      <c r="F52" s="50" t="str">
        <f t="shared" si="19"/>
        <v/>
      </c>
      <c r="G52" s="50" t="str">
        <f t="shared" si="20"/>
        <v/>
      </c>
      <c r="H52" s="50" t="str">
        <f t="shared" si="21"/>
        <v/>
      </c>
      <c r="I52" s="50" t="str">
        <f t="shared" si="22"/>
        <v/>
      </c>
      <c r="J52" s="50" t="str">
        <f t="shared" si="23"/>
        <v/>
      </c>
      <c r="K52" s="50" t="str">
        <f t="shared" si="26"/>
        <v/>
      </c>
      <c r="L52" s="50" t="str">
        <f t="shared" si="24"/>
        <v/>
      </c>
      <c r="M52" s="50" t="str">
        <f>IF(C52="","",IF(C52=Term,0,IF(OR(Current_IT=0,Current_IT=0.2),Allowances!H33*IF(B52&gt;2027,Future_IT,Current_IT),Allowances!H33*IF(B52&gt;2027,Future_IT,Current_IT))))</f>
        <v/>
      </c>
      <c r="N52" s="64" t="str">
        <f t="shared" si="25"/>
        <v/>
      </c>
      <c r="O52" s="80"/>
      <c r="P52" s="87"/>
      <c r="Q52" s="87"/>
      <c r="R52" s="87"/>
      <c r="S52" s="87"/>
      <c r="T52" s="87"/>
      <c r="U52" s="87"/>
      <c r="V52" s="78"/>
    </row>
    <row r="53" spans="1:22" x14ac:dyDescent="0.25">
      <c r="A53" s="49"/>
      <c r="B53" s="53">
        <v>19</v>
      </c>
      <c r="C53" s="46" t="str">
        <f t="shared" si="17"/>
        <v/>
      </c>
      <c r="D53" s="50" t="str">
        <f t="shared" si="27"/>
        <v/>
      </c>
      <c r="E53" s="50" t="str">
        <f t="shared" si="18"/>
        <v/>
      </c>
      <c r="F53" s="50" t="str">
        <f t="shared" si="19"/>
        <v/>
      </c>
      <c r="G53" s="50" t="str">
        <f t="shared" si="20"/>
        <v/>
      </c>
      <c r="H53" s="50" t="str">
        <f t="shared" si="21"/>
        <v/>
      </c>
      <c r="I53" s="50" t="str">
        <f t="shared" si="22"/>
        <v/>
      </c>
      <c r="J53" s="50" t="str">
        <f t="shared" si="23"/>
        <v/>
      </c>
      <c r="K53" s="50" t="str">
        <f t="shared" si="26"/>
        <v/>
      </c>
      <c r="L53" s="50" t="str">
        <f t="shared" si="24"/>
        <v/>
      </c>
      <c r="M53" s="50" t="str">
        <f>IF(C53="","",IF(C53=Term,0,IF(OR(Current_IT=0,Current_IT=0.2),Allowances!H34*IF(B53&gt;2027,Future_IT,Current_IT),Allowances!H34*IF(B53&gt;2027,Future_IT,Current_IT))))</f>
        <v/>
      </c>
      <c r="N53" s="64" t="str">
        <f t="shared" si="25"/>
        <v/>
      </c>
      <c r="O53" s="80"/>
      <c r="P53" s="87"/>
      <c r="Q53" s="87"/>
      <c r="R53" s="87"/>
      <c r="S53" s="87"/>
      <c r="T53" s="87"/>
      <c r="U53" s="87"/>
      <c r="V53" s="78"/>
    </row>
    <row r="54" spans="1:22" x14ac:dyDescent="0.25">
      <c r="A54" s="49"/>
      <c r="B54" s="53">
        <v>20</v>
      </c>
      <c r="C54" s="46" t="str">
        <f t="shared" si="17"/>
        <v/>
      </c>
      <c r="D54" s="50" t="str">
        <f t="shared" si="27"/>
        <v/>
      </c>
      <c r="E54" s="50" t="str">
        <f t="shared" si="18"/>
        <v/>
      </c>
      <c r="F54" s="50" t="str">
        <f t="shared" si="19"/>
        <v/>
      </c>
      <c r="G54" s="50" t="str">
        <f t="shared" si="20"/>
        <v/>
      </c>
      <c r="H54" s="50" t="str">
        <f t="shared" si="21"/>
        <v/>
      </c>
      <c r="I54" s="50" t="str">
        <f t="shared" si="22"/>
        <v/>
      </c>
      <c r="J54" s="50" t="str">
        <f t="shared" si="23"/>
        <v/>
      </c>
      <c r="K54" s="50" t="str">
        <f t="shared" si="26"/>
        <v/>
      </c>
      <c r="L54" s="50" t="str">
        <f t="shared" si="24"/>
        <v/>
      </c>
      <c r="M54" s="50" t="str">
        <f>IF(C54="","",IF(C54=Term,0,IF(OR(Current_IT=0,Current_IT=0.2),Allowances!H35*IF(B54&gt;2027,Future_IT,Current_IT),Allowances!H35*IF(B54&gt;2027,Future_IT,Current_IT))))</f>
        <v/>
      </c>
      <c r="N54" s="64" t="str">
        <f t="shared" si="25"/>
        <v/>
      </c>
      <c r="O54" s="80"/>
      <c r="P54" s="87"/>
      <c r="Q54" s="87"/>
      <c r="R54" s="87"/>
      <c r="S54" s="87"/>
      <c r="T54" s="87"/>
      <c r="U54" s="87"/>
      <c r="V54" s="78"/>
    </row>
    <row r="55" spans="1:22" x14ac:dyDescent="0.25">
      <c r="B55" s="12"/>
      <c r="C55" s="47"/>
      <c r="D55" s="56"/>
      <c r="E55" s="56"/>
      <c r="F55" s="57">
        <f>SUM(F35:F54)</f>
        <v>0</v>
      </c>
      <c r="G55" s="56"/>
      <c r="H55" s="57">
        <f>SUM(H35:H54)</f>
        <v>0</v>
      </c>
      <c r="I55" s="56"/>
      <c r="J55" s="57">
        <f>SUM(J35:J54)</f>
        <v>0</v>
      </c>
      <c r="K55" s="57">
        <f>SUM(K35:K54)</f>
        <v>0</v>
      </c>
      <c r="L55" s="57">
        <f>SUM(L35:L54)</f>
        <v>0</v>
      </c>
      <c r="M55" s="70">
        <f ca="1">SUM(M35:M54)</f>
        <v>0</v>
      </c>
      <c r="N55" s="52" cm="1">
        <f t="array" ref="N55">LOOKUP(2,1/(N35:N54&lt;&gt;""),N35:N54)</f>
        <v>100000</v>
      </c>
      <c r="O55" s="73"/>
      <c r="P55" s="87"/>
      <c r="Q55" s="87"/>
      <c r="R55" s="87"/>
      <c r="S55" s="87"/>
      <c r="T55" s="87"/>
      <c r="U55" s="87"/>
      <c r="V55" s="78"/>
    </row>
    <row r="56" spans="1:22" x14ac:dyDescent="0.25">
      <c r="B56" s="12"/>
      <c r="C56" s="47"/>
      <c r="D56" s="47"/>
      <c r="E56" s="47"/>
      <c r="F56" s="47"/>
      <c r="G56" s="47"/>
      <c r="H56" s="47"/>
      <c r="I56" s="47"/>
      <c r="J56" s="47"/>
      <c r="K56" s="47"/>
      <c r="L56" s="47"/>
      <c r="M56" s="47"/>
      <c r="N56" s="47"/>
      <c r="O56" s="47"/>
      <c r="P56" s="87"/>
      <c r="Q56" s="87"/>
      <c r="R56" s="87"/>
      <c r="S56" s="87"/>
      <c r="T56" s="87"/>
      <c r="U56" s="87"/>
      <c r="V56" s="14"/>
    </row>
    <row r="57" spans="1:22" ht="15" customHeight="1" x14ac:dyDescent="0.25">
      <c r="B57" s="12"/>
      <c r="C57" s="58" t="s">
        <v>12</v>
      </c>
      <c r="D57" s="47"/>
      <c r="E57" s="47"/>
      <c r="F57" s="47"/>
      <c r="G57" s="47"/>
      <c r="H57" s="47"/>
      <c r="I57" s="47"/>
      <c r="J57" s="47"/>
      <c r="K57" s="47"/>
      <c r="L57" s="47"/>
      <c r="M57" s="47"/>
      <c r="N57" s="47"/>
      <c r="O57" s="73"/>
      <c r="P57" s="87" t="s">
        <v>51</v>
      </c>
      <c r="Q57" s="87"/>
      <c r="R57" s="87"/>
      <c r="S57" s="87"/>
      <c r="T57" s="87"/>
      <c r="U57" s="87"/>
      <c r="V57" s="77"/>
    </row>
    <row r="58" spans="1:22" x14ac:dyDescent="0.25">
      <c r="B58" s="12"/>
      <c r="C58" s="47"/>
      <c r="D58" s="47"/>
      <c r="E58" s="47"/>
      <c r="F58" s="47"/>
      <c r="G58" s="47"/>
      <c r="H58" s="47"/>
      <c r="I58" s="47"/>
      <c r="J58" s="47"/>
      <c r="K58" s="47"/>
      <c r="L58" s="47"/>
      <c r="M58" s="47"/>
      <c r="N58" s="47"/>
      <c r="O58" s="73"/>
      <c r="P58" s="87"/>
      <c r="Q58" s="87"/>
      <c r="R58" s="87"/>
      <c r="S58" s="87"/>
      <c r="T58" s="87"/>
      <c r="U58" s="87"/>
      <c r="V58" s="77"/>
    </row>
    <row r="59" spans="1:22" x14ac:dyDescent="0.25">
      <c r="B59" s="12"/>
      <c r="C59" s="44" t="s">
        <v>59</v>
      </c>
      <c r="D59" s="44" t="s">
        <v>60</v>
      </c>
      <c r="E59" s="44" t="s">
        <v>20</v>
      </c>
      <c r="F59" s="44" t="s">
        <v>71</v>
      </c>
      <c r="G59" s="44" t="s">
        <v>66</v>
      </c>
      <c r="H59" s="44" t="s">
        <v>72</v>
      </c>
      <c r="I59" s="44" t="s">
        <v>67</v>
      </c>
      <c r="J59" s="44" t="s">
        <v>71</v>
      </c>
      <c r="K59" s="44" t="s">
        <v>100</v>
      </c>
      <c r="L59" s="44" t="s">
        <v>17</v>
      </c>
      <c r="M59" s="44" t="s">
        <v>121</v>
      </c>
      <c r="N59" s="44" t="s">
        <v>97</v>
      </c>
      <c r="O59" s="47"/>
      <c r="P59" s="87"/>
      <c r="Q59" s="87"/>
      <c r="R59" s="87"/>
      <c r="S59" s="87"/>
      <c r="T59" s="87"/>
      <c r="U59" s="87"/>
      <c r="V59" s="14"/>
    </row>
    <row r="60" spans="1:22" ht="15" customHeight="1" x14ac:dyDescent="0.25">
      <c r="B60" s="53">
        <v>1</v>
      </c>
      <c r="C60" s="46">
        <f t="shared" ref="C60:C79" si="28">IF(B60&lt;=Term,B60,"")</f>
        <v>1</v>
      </c>
      <c r="D60" s="50">
        <f>initial_investment</f>
        <v>100000</v>
      </c>
      <c r="E60" s="50">
        <f t="shared" ref="E60:E79" si="29">IF(C60="","",D60*Cap_return)</f>
        <v>0</v>
      </c>
      <c r="F60" s="50">
        <f t="shared" ref="F60:F79" ca="1" si="30">IFERROR(E60*IF(A10&gt;2027,Future_life_co_rate,Lifeco_rate),"")</f>
        <v>0</v>
      </c>
      <c r="G60" s="50">
        <f t="shared" ref="G60:G79" si="31">IF(C60="","",D60*Int_return)</f>
        <v>0</v>
      </c>
      <c r="H60" s="50">
        <f t="shared" ref="H60:H79" ca="1" si="32">IFERROR(G60*IF(A10&gt;2027,Future_life_co_rate,Lifeco_rate),"")</f>
        <v>0</v>
      </c>
      <c r="I60" s="50">
        <f t="shared" ref="I60:I79" si="33">IF(C60="","",D60*Div_return)</f>
        <v>0</v>
      </c>
      <c r="J60" s="50">
        <f t="shared" ref="J60:J79" si="34">IFERROR(I60*Lifeco_div,"")</f>
        <v>0</v>
      </c>
      <c r="K60" s="50">
        <f ca="1">IF(C60="","",SUM(F60,H60,J60))</f>
        <v>0</v>
      </c>
      <c r="L60" s="50">
        <f t="shared" ref="L60:L79" ca="1" si="35">IF(C60="","",IF(Withdrawal_amnt&lt;=D60+E60+G60+I60-F60-H60-J60,Withdrawal_amnt,0))</f>
        <v>0</v>
      </c>
      <c r="M60" s="50">
        <f ca="1">IF(C60="","",IF(C60=Term,0,IF(OR(Current_IT=0,Current_IT=0.2),Allowances!H16*Onbond_Non_BR,IF(Current_IT=0.4,Allowances!H16*Onbond_HR,Allowances!H16*Onbond_AR))))</f>
        <v>0</v>
      </c>
      <c r="N60" s="64">
        <f t="shared" ref="N60:N79" ca="1" si="36">IFERROR(MAX(0,D60*(1+Total_annual_return)-K60-L60),"")</f>
        <v>100000</v>
      </c>
      <c r="O60" s="81"/>
      <c r="P60" s="87" t="s">
        <v>52</v>
      </c>
      <c r="Q60" s="87"/>
      <c r="R60" s="87"/>
      <c r="S60" s="87"/>
      <c r="T60" s="87"/>
      <c r="U60" s="87"/>
      <c r="V60" s="77"/>
    </row>
    <row r="61" spans="1:22" x14ac:dyDescent="0.25">
      <c r="B61" s="53">
        <v>2</v>
      </c>
      <c r="C61" s="46">
        <f t="shared" si="28"/>
        <v>2</v>
      </c>
      <c r="D61" s="50">
        <f ca="1">IF(C61="","",N60)</f>
        <v>100000</v>
      </c>
      <c r="E61" s="50">
        <f t="shared" ca="1" si="29"/>
        <v>0</v>
      </c>
      <c r="F61" s="50">
        <f t="shared" ca="1" si="30"/>
        <v>0</v>
      </c>
      <c r="G61" s="50">
        <f t="shared" ca="1" si="31"/>
        <v>0</v>
      </c>
      <c r="H61" s="50">
        <f t="shared" ca="1" si="32"/>
        <v>0</v>
      </c>
      <c r="I61" s="50">
        <f t="shared" ca="1" si="33"/>
        <v>0</v>
      </c>
      <c r="J61" s="50">
        <f t="shared" ca="1" si="34"/>
        <v>0</v>
      </c>
      <c r="K61" s="50">
        <f ca="1">IF(C61="","",SUM(F61,H61,J61))</f>
        <v>0</v>
      </c>
      <c r="L61" s="50">
        <f t="shared" ca="1" si="35"/>
        <v>0</v>
      </c>
      <c r="M61" s="50">
        <f ca="1">IF(C61="","",IF(C61=Term,0,IF(OR(Current_IT=0,Current_IT=0.2),Allowances!H17*Onbond_Non_BR,IF(Current_IT=0.4,Allowances!H17*Onbond_HR,Allowances!H17*Onbond_AR))))</f>
        <v>0</v>
      </c>
      <c r="N61" s="64">
        <f t="shared" ca="1" si="36"/>
        <v>100000</v>
      </c>
      <c r="O61" s="81"/>
      <c r="P61" s="87"/>
      <c r="Q61" s="87"/>
      <c r="R61" s="87"/>
      <c r="S61" s="87"/>
      <c r="T61" s="87"/>
      <c r="U61" s="87"/>
      <c r="V61" s="77"/>
    </row>
    <row r="62" spans="1:22" x14ac:dyDescent="0.25">
      <c r="B62" s="53">
        <v>3</v>
      </c>
      <c r="C62" s="46">
        <f t="shared" si="28"/>
        <v>3</v>
      </c>
      <c r="D62" s="50">
        <f t="shared" ref="D62:D79" ca="1" si="37">IF(C62="","",N61)</f>
        <v>100000</v>
      </c>
      <c r="E62" s="50">
        <f t="shared" ca="1" si="29"/>
        <v>0</v>
      </c>
      <c r="F62" s="50">
        <f t="shared" ca="1" si="30"/>
        <v>0</v>
      </c>
      <c r="G62" s="50">
        <f t="shared" ca="1" si="31"/>
        <v>0</v>
      </c>
      <c r="H62" s="50">
        <f t="shared" ca="1" si="32"/>
        <v>0</v>
      </c>
      <c r="I62" s="50">
        <f t="shared" ca="1" si="33"/>
        <v>0</v>
      </c>
      <c r="J62" s="50">
        <f t="shared" ca="1" si="34"/>
        <v>0</v>
      </c>
      <c r="K62" s="50">
        <f t="shared" ref="K62:K79" ca="1" si="38">IF(C62="","",SUM(F62,H62,J62))</f>
        <v>0</v>
      </c>
      <c r="L62" s="50">
        <f t="shared" ca="1" si="35"/>
        <v>0</v>
      </c>
      <c r="M62" s="50">
        <f ca="1">IF(C62="","",IF(C62=Term,0,IF(OR(Current_IT=0,Current_IT=0.2),Allowances!H18*Onbond_Non_BR,IF(Current_IT=0.4,Allowances!H18*Onbond_HR,Allowances!H18*Onbond_AR))))</f>
        <v>0</v>
      </c>
      <c r="N62" s="64">
        <f t="shared" ca="1" si="36"/>
        <v>100000</v>
      </c>
      <c r="O62" s="81"/>
      <c r="P62" s="87"/>
      <c r="Q62" s="87"/>
      <c r="R62" s="87"/>
      <c r="S62" s="87"/>
      <c r="T62" s="87"/>
      <c r="U62" s="87"/>
      <c r="V62" s="77"/>
    </row>
    <row r="63" spans="1:22" x14ac:dyDescent="0.25">
      <c r="B63" s="53">
        <v>4</v>
      </c>
      <c r="C63" s="46">
        <f t="shared" si="28"/>
        <v>4</v>
      </c>
      <c r="D63" s="50">
        <f t="shared" ca="1" si="37"/>
        <v>100000</v>
      </c>
      <c r="E63" s="50">
        <f t="shared" ca="1" si="29"/>
        <v>0</v>
      </c>
      <c r="F63" s="50">
        <f t="shared" ca="1" si="30"/>
        <v>0</v>
      </c>
      <c r="G63" s="50">
        <f t="shared" ca="1" si="31"/>
        <v>0</v>
      </c>
      <c r="H63" s="50">
        <f t="shared" ca="1" si="32"/>
        <v>0</v>
      </c>
      <c r="I63" s="50">
        <f t="shared" ca="1" si="33"/>
        <v>0</v>
      </c>
      <c r="J63" s="50">
        <f t="shared" ca="1" si="34"/>
        <v>0</v>
      </c>
      <c r="K63" s="50">
        <f t="shared" ca="1" si="38"/>
        <v>0</v>
      </c>
      <c r="L63" s="50">
        <f t="shared" ca="1" si="35"/>
        <v>0</v>
      </c>
      <c r="M63" s="50">
        <f ca="1">IF(C63="","",IF(C63=Term,0,IF(OR(Current_IT=0,Current_IT=0.2),Allowances!H19*Onbond_Non_BR,IF(Current_IT=0.4,Allowances!H19*Onbond_HR,Allowances!H19*Onbond_AR))))</f>
        <v>0</v>
      </c>
      <c r="N63" s="64">
        <f t="shared" ca="1" si="36"/>
        <v>100000</v>
      </c>
      <c r="O63" s="81"/>
      <c r="P63" s="87"/>
      <c r="Q63" s="87"/>
      <c r="R63" s="87"/>
      <c r="S63" s="87"/>
      <c r="T63" s="87"/>
      <c r="U63" s="87"/>
      <c r="V63" s="77"/>
    </row>
    <row r="64" spans="1:22" x14ac:dyDescent="0.25">
      <c r="B64" s="53">
        <v>5</v>
      </c>
      <c r="C64" s="46">
        <f t="shared" si="28"/>
        <v>5</v>
      </c>
      <c r="D64" s="50">
        <f t="shared" ca="1" si="37"/>
        <v>100000</v>
      </c>
      <c r="E64" s="50">
        <f t="shared" ca="1" si="29"/>
        <v>0</v>
      </c>
      <c r="F64" s="50">
        <f t="shared" ca="1" si="30"/>
        <v>0</v>
      </c>
      <c r="G64" s="50">
        <f t="shared" ca="1" si="31"/>
        <v>0</v>
      </c>
      <c r="H64" s="50">
        <f t="shared" ca="1" si="32"/>
        <v>0</v>
      </c>
      <c r="I64" s="50">
        <f t="shared" ca="1" si="33"/>
        <v>0</v>
      </c>
      <c r="J64" s="50">
        <f t="shared" ca="1" si="34"/>
        <v>0</v>
      </c>
      <c r="K64" s="50">
        <f t="shared" ca="1" si="38"/>
        <v>0</v>
      </c>
      <c r="L64" s="50">
        <f t="shared" ca="1" si="35"/>
        <v>0</v>
      </c>
      <c r="M64" s="50">
        <f ca="1">IF(C64="","",IF(C64=Term,0,IF(OR(Current_IT=0,Current_IT=0.2),Allowances!H20*Onbond_Non_BR,IF(Current_IT=0.4,Allowances!H20*Onbond_HR,Allowances!H20*Onbond_AR))))</f>
        <v>0</v>
      </c>
      <c r="N64" s="64">
        <f t="shared" ca="1" si="36"/>
        <v>100000</v>
      </c>
      <c r="O64" s="81"/>
      <c r="P64" s="87"/>
      <c r="Q64" s="87"/>
      <c r="R64" s="87"/>
      <c r="S64" s="87"/>
      <c r="T64" s="87"/>
      <c r="U64" s="87"/>
      <c r="V64" s="77"/>
    </row>
    <row r="65" spans="2:22" x14ac:dyDescent="0.25">
      <c r="B65" s="53">
        <v>6</v>
      </c>
      <c r="C65" s="46">
        <f t="shared" si="28"/>
        <v>6</v>
      </c>
      <c r="D65" s="50">
        <f t="shared" ca="1" si="37"/>
        <v>100000</v>
      </c>
      <c r="E65" s="50">
        <f t="shared" ca="1" si="29"/>
        <v>0</v>
      </c>
      <c r="F65" s="50">
        <f t="shared" ca="1" si="30"/>
        <v>0</v>
      </c>
      <c r="G65" s="50">
        <f t="shared" ca="1" si="31"/>
        <v>0</v>
      </c>
      <c r="H65" s="50">
        <f t="shared" ca="1" si="32"/>
        <v>0</v>
      </c>
      <c r="I65" s="50">
        <f t="shared" ca="1" si="33"/>
        <v>0</v>
      </c>
      <c r="J65" s="50">
        <f t="shared" ca="1" si="34"/>
        <v>0</v>
      </c>
      <c r="K65" s="50">
        <f t="shared" ca="1" si="38"/>
        <v>0</v>
      </c>
      <c r="L65" s="50">
        <f t="shared" ca="1" si="35"/>
        <v>0</v>
      </c>
      <c r="M65" s="50">
        <f ca="1">IF(C65="","",IF(C65=Term,0,IF(OR(Current_IT=0,Current_IT=0.2),Allowances!H21*Onbond_Non_BR,IF(Current_IT=0.4,Allowances!H21*Onbond_HR,Allowances!H21*Onbond_AR))))</f>
        <v>0</v>
      </c>
      <c r="N65" s="64">
        <f t="shared" ca="1" si="36"/>
        <v>100000</v>
      </c>
      <c r="O65" s="81"/>
      <c r="P65" s="87"/>
      <c r="Q65" s="87"/>
      <c r="R65" s="87"/>
      <c r="S65" s="87"/>
      <c r="T65" s="87"/>
      <c r="U65" s="87"/>
      <c r="V65" s="77"/>
    </row>
    <row r="66" spans="2:22" x14ac:dyDescent="0.25">
      <c r="B66" s="53">
        <v>7</v>
      </c>
      <c r="C66" s="46">
        <f t="shared" si="28"/>
        <v>7</v>
      </c>
      <c r="D66" s="50">
        <f t="shared" ca="1" si="37"/>
        <v>100000</v>
      </c>
      <c r="E66" s="50">
        <f t="shared" ca="1" si="29"/>
        <v>0</v>
      </c>
      <c r="F66" s="50">
        <f t="shared" ca="1" si="30"/>
        <v>0</v>
      </c>
      <c r="G66" s="50">
        <f t="shared" ca="1" si="31"/>
        <v>0</v>
      </c>
      <c r="H66" s="50">
        <f t="shared" ca="1" si="32"/>
        <v>0</v>
      </c>
      <c r="I66" s="50">
        <f t="shared" ca="1" si="33"/>
        <v>0</v>
      </c>
      <c r="J66" s="50">
        <f t="shared" ca="1" si="34"/>
        <v>0</v>
      </c>
      <c r="K66" s="50">
        <f t="shared" ca="1" si="38"/>
        <v>0</v>
      </c>
      <c r="L66" s="50">
        <f t="shared" ca="1" si="35"/>
        <v>0</v>
      </c>
      <c r="M66" s="50">
        <f ca="1">IF(C66="","",IF(C66=Term,0,IF(OR(Current_IT=0,Current_IT=0.2),Allowances!H22*Onbond_Non_BR,IF(Current_IT=0.4,Allowances!H22*Onbond_HR,Allowances!H22*Onbond_AR))))</f>
        <v>0</v>
      </c>
      <c r="N66" s="64">
        <f t="shared" ca="1" si="36"/>
        <v>100000</v>
      </c>
      <c r="O66" s="81"/>
      <c r="P66" s="87"/>
      <c r="Q66" s="87"/>
      <c r="R66" s="87"/>
      <c r="S66" s="87"/>
      <c r="T66" s="87"/>
      <c r="U66" s="87"/>
      <c r="V66" s="77"/>
    </row>
    <row r="67" spans="2:22" ht="15" customHeight="1" x14ac:dyDescent="0.25">
      <c r="B67" s="53">
        <v>8</v>
      </c>
      <c r="C67" s="46">
        <f t="shared" si="28"/>
        <v>8</v>
      </c>
      <c r="D67" s="50">
        <f t="shared" ca="1" si="37"/>
        <v>100000</v>
      </c>
      <c r="E67" s="50">
        <f t="shared" ca="1" si="29"/>
        <v>0</v>
      </c>
      <c r="F67" s="50">
        <f t="shared" ca="1" si="30"/>
        <v>0</v>
      </c>
      <c r="G67" s="50">
        <f t="shared" ca="1" si="31"/>
        <v>0</v>
      </c>
      <c r="H67" s="50">
        <f t="shared" ca="1" si="32"/>
        <v>0</v>
      </c>
      <c r="I67" s="50">
        <f t="shared" ca="1" si="33"/>
        <v>0</v>
      </c>
      <c r="J67" s="50">
        <f t="shared" ca="1" si="34"/>
        <v>0</v>
      </c>
      <c r="K67" s="50">
        <f t="shared" ca="1" si="38"/>
        <v>0</v>
      </c>
      <c r="L67" s="50">
        <f t="shared" ca="1" si="35"/>
        <v>0</v>
      </c>
      <c r="M67" s="50">
        <f ca="1">IF(C67="","",IF(C67=Term,0,IF(OR(Current_IT=0,Current_IT=0.2),Allowances!H23*Onbond_Non_BR,IF(Current_IT=0.4,Allowances!H23*Onbond_HR,Allowances!H23*Onbond_AR))))</f>
        <v>0</v>
      </c>
      <c r="N67" s="64">
        <f t="shared" ca="1" si="36"/>
        <v>100000</v>
      </c>
      <c r="O67" s="81"/>
      <c r="P67" s="87" t="s">
        <v>53</v>
      </c>
      <c r="Q67" s="87"/>
      <c r="R67" s="87"/>
      <c r="S67" s="87"/>
      <c r="T67" s="87"/>
      <c r="U67" s="87"/>
      <c r="V67" s="77"/>
    </row>
    <row r="68" spans="2:22" x14ac:dyDescent="0.25">
      <c r="B68" s="53">
        <v>9</v>
      </c>
      <c r="C68" s="46">
        <f t="shared" si="28"/>
        <v>9</v>
      </c>
      <c r="D68" s="50">
        <f t="shared" ca="1" si="37"/>
        <v>100000</v>
      </c>
      <c r="E68" s="50">
        <f t="shared" ca="1" si="29"/>
        <v>0</v>
      </c>
      <c r="F68" s="50">
        <f t="shared" ca="1" si="30"/>
        <v>0</v>
      </c>
      <c r="G68" s="50">
        <f t="shared" ca="1" si="31"/>
        <v>0</v>
      </c>
      <c r="H68" s="50">
        <f t="shared" ca="1" si="32"/>
        <v>0</v>
      </c>
      <c r="I68" s="50">
        <f t="shared" ca="1" si="33"/>
        <v>0</v>
      </c>
      <c r="J68" s="50">
        <f t="shared" ca="1" si="34"/>
        <v>0</v>
      </c>
      <c r="K68" s="50">
        <f t="shared" ca="1" si="38"/>
        <v>0</v>
      </c>
      <c r="L68" s="50">
        <f t="shared" ca="1" si="35"/>
        <v>0</v>
      </c>
      <c r="M68" s="50">
        <f ca="1">IF(C68="","",IF(C68=Term,0,IF(OR(Current_IT=0,Current_IT=0.2),Allowances!H24*Onbond_Non_BR,IF(Current_IT=0.4,Allowances!H24*Onbond_HR,Allowances!H24*Onbond_AR))))</f>
        <v>0</v>
      </c>
      <c r="N68" s="64">
        <f t="shared" ca="1" si="36"/>
        <v>100000</v>
      </c>
      <c r="O68" s="81"/>
      <c r="P68" s="87"/>
      <c r="Q68" s="87"/>
      <c r="R68" s="87"/>
      <c r="S68" s="87"/>
      <c r="T68" s="87"/>
      <c r="U68" s="87"/>
      <c r="V68" s="77"/>
    </row>
    <row r="69" spans="2:22" x14ac:dyDescent="0.25">
      <c r="B69" s="53">
        <v>10</v>
      </c>
      <c r="C69" s="46">
        <f t="shared" si="28"/>
        <v>10</v>
      </c>
      <c r="D69" s="50">
        <f t="shared" ca="1" si="37"/>
        <v>100000</v>
      </c>
      <c r="E69" s="50">
        <f t="shared" ca="1" si="29"/>
        <v>0</v>
      </c>
      <c r="F69" s="50">
        <f t="shared" ca="1" si="30"/>
        <v>0</v>
      </c>
      <c r="G69" s="50">
        <f t="shared" ca="1" si="31"/>
        <v>0</v>
      </c>
      <c r="H69" s="50">
        <f t="shared" ca="1" si="32"/>
        <v>0</v>
      </c>
      <c r="I69" s="50">
        <f t="shared" ca="1" si="33"/>
        <v>0</v>
      </c>
      <c r="J69" s="50">
        <f t="shared" ca="1" si="34"/>
        <v>0</v>
      </c>
      <c r="K69" s="50">
        <f t="shared" ca="1" si="38"/>
        <v>0</v>
      </c>
      <c r="L69" s="50">
        <f t="shared" ca="1" si="35"/>
        <v>0</v>
      </c>
      <c r="M69" s="50">
        <f>IF(C69="","",IF(C69=Term,0,IF(OR(Current_IT=0,Current_IT=0.2),Allowances!H25*Onbond_Non_BR,IF(Current_IT=0.4,Allowances!H25*Onbond_HR,Allowances!H25*Onbond_AR))))</f>
        <v>0</v>
      </c>
      <c r="N69" s="64">
        <f t="shared" ca="1" si="36"/>
        <v>100000</v>
      </c>
      <c r="O69" s="81"/>
      <c r="P69" s="87"/>
      <c r="Q69" s="87"/>
      <c r="R69" s="87"/>
      <c r="S69" s="87"/>
      <c r="T69" s="87"/>
      <c r="U69" s="87"/>
      <c r="V69" s="77"/>
    </row>
    <row r="70" spans="2:22" x14ac:dyDescent="0.25">
      <c r="B70" s="53">
        <v>11</v>
      </c>
      <c r="C70" s="46" t="str">
        <f t="shared" si="28"/>
        <v/>
      </c>
      <c r="D70" s="50" t="str">
        <f t="shared" si="37"/>
        <v/>
      </c>
      <c r="E70" s="50" t="str">
        <f t="shared" si="29"/>
        <v/>
      </c>
      <c r="F70" s="50" t="str">
        <f t="shared" ca="1" si="30"/>
        <v/>
      </c>
      <c r="G70" s="50" t="str">
        <f t="shared" si="31"/>
        <v/>
      </c>
      <c r="H70" s="50" t="str">
        <f t="shared" ca="1" si="32"/>
        <v/>
      </c>
      <c r="I70" s="50" t="str">
        <f t="shared" si="33"/>
        <v/>
      </c>
      <c r="J70" s="50" t="str">
        <f t="shared" si="34"/>
        <v/>
      </c>
      <c r="K70" s="50" t="str">
        <f t="shared" si="38"/>
        <v/>
      </c>
      <c r="L70" s="50" t="str">
        <f t="shared" si="35"/>
        <v/>
      </c>
      <c r="M70" s="50" t="str">
        <f>IF(C70="","",IF(C70=Term,0,IF(OR(Current_IT=0,Current_IT=0.2),Allowances!H26*Onbond_Non_BR,IF(Current_IT=0.4,Allowances!H26*Onbond_HR,Allowances!H26*Onbond_AR))))</f>
        <v/>
      </c>
      <c r="N70" s="64" t="str">
        <f t="shared" si="36"/>
        <v/>
      </c>
      <c r="O70" s="81"/>
      <c r="P70" s="87"/>
      <c r="Q70" s="87"/>
      <c r="R70" s="87"/>
      <c r="S70" s="87"/>
      <c r="T70" s="87"/>
      <c r="U70" s="87"/>
      <c r="V70" s="77"/>
    </row>
    <row r="71" spans="2:22" x14ac:dyDescent="0.25">
      <c r="B71" s="53">
        <v>12</v>
      </c>
      <c r="C71" s="46" t="str">
        <f t="shared" si="28"/>
        <v/>
      </c>
      <c r="D71" s="50" t="str">
        <f t="shared" si="37"/>
        <v/>
      </c>
      <c r="E71" s="50" t="str">
        <f t="shared" si="29"/>
        <v/>
      </c>
      <c r="F71" s="50" t="str">
        <f t="shared" ca="1" si="30"/>
        <v/>
      </c>
      <c r="G71" s="50" t="str">
        <f t="shared" si="31"/>
        <v/>
      </c>
      <c r="H71" s="50" t="str">
        <f t="shared" ca="1" si="32"/>
        <v/>
      </c>
      <c r="I71" s="50" t="str">
        <f t="shared" si="33"/>
        <v/>
      </c>
      <c r="J71" s="50" t="str">
        <f t="shared" si="34"/>
        <v/>
      </c>
      <c r="K71" s="50" t="str">
        <f t="shared" si="38"/>
        <v/>
      </c>
      <c r="L71" s="50" t="str">
        <f t="shared" si="35"/>
        <v/>
      </c>
      <c r="M71" s="50" t="str">
        <f>IF(C71="","",IF(C71=Term,0,IF(OR(Current_IT=0,Current_IT=0.2),Allowances!H27*Onbond_Non_BR,IF(Current_IT=0.4,Allowances!H27*Onbond_HR,Allowances!H27*Onbond_AR))))</f>
        <v/>
      </c>
      <c r="N71" s="64" t="str">
        <f t="shared" si="36"/>
        <v/>
      </c>
      <c r="O71" s="47"/>
      <c r="P71" s="47"/>
      <c r="Q71" s="47"/>
      <c r="R71" s="47"/>
      <c r="S71" s="47"/>
      <c r="V71" s="14"/>
    </row>
    <row r="72" spans="2:22" x14ac:dyDescent="0.25">
      <c r="B72" s="53">
        <v>13</v>
      </c>
      <c r="C72" s="46" t="str">
        <f t="shared" si="28"/>
        <v/>
      </c>
      <c r="D72" s="50" t="str">
        <f t="shared" si="37"/>
        <v/>
      </c>
      <c r="E72" s="50" t="str">
        <f t="shared" si="29"/>
        <v/>
      </c>
      <c r="F72" s="50" t="str">
        <f t="shared" ca="1" si="30"/>
        <v/>
      </c>
      <c r="G72" s="50" t="str">
        <f t="shared" si="31"/>
        <v/>
      </c>
      <c r="H72" s="50" t="str">
        <f t="shared" ca="1" si="32"/>
        <v/>
      </c>
      <c r="I72" s="50" t="str">
        <f t="shared" si="33"/>
        <v/>
      </c>
      <c r="J72" s="50" t="str">
        <f t="shared" si="34"/>
        <v/>
      </c>
      <c r="K72" s="50" t="str">
        <f t="shared" si="38"/>
        <v/>
      </c>
      <c r="L72" s="50" t="str">
        <f t="shared" si="35"/>
        <v/>
      </c>
      <c r="M72" s="50" t="str">
        <f>IF(C72="","",IF(C72=Term,0,IF(OR(Current_IT=0,Current_IT=0.2),Allowances!H28*Onbond_Non_BR,IF(Current_IT=0.4,Allowances!H28*Onbond_HR,Allowances!H28*Onbond_AR))))</f>
        <v/>
      </c>
      <c r="N72" s="64" t="str">
        <f t="shared" si="36"/>
        <v/>
      </c>
      <c r="O72" s="82"/>
      <c r="P72" s="91" t="s">
        <v>54</v>
      </c>
      <c r="Q72" s="91"/>
      <c r="R72" s="91"/>
      <c r="S72" s="91"/>
      <c r="T72" s="91"/>
      <c r="U72" s="91"/>
      <c r="V72" s="79"/>
    </row>
    <row r="73" spans="2:22" x14ac:dyDescent="0.25">
      <c r="B73" s="53">
        <v>14</v>
      </c>
      <c r="C73" s="46" t="str">
        <f t="shared" si="28"/>
        <v/>
      </c>
      <c r="D73" s="50" t="str">
        <f t="shared" si="37"/>
        <v/>
      </c>
      <c r="E73" s="50" t="str">
        <f t="shared" si="29"/>
        <v/>
      </c>
      <c r="F73" s="50" t="str">
        <f t="shared" ca="1" si="30"/>
        <v/>
      </c>
      <c r="G73" s="50" t="str">
        <f t="shared" si="31"/>
        <v/>
      </c>
      <c r="H73" s="50" t="str">
        <f t="shared" ca="1" si="32"/>
        <v/>
      </c>
      <c r="I73" s="50" t="str">
        <f t="shared" si="33"/>
        <v/>
      </c>
      <c r="J73" s="50" t="str">
        <f t="shared" si="34"/>
        <v/>
      </c>
      <c r="K73" s="50" t="str">
        <f t="shared" si="38"/>
        <v/>
      </c>
      <c r="L73" s="50" t="str">
        <f t="shared" si="35"/>
        <v/>
      </c>
      <c r="M73" s="50" t="str">
        <f>IF(C73="","",IF(C73=Term,0,IF(OR(Current_IT=0,Current_IT=0.2),Allowances!H29*Onbond_Non_BR,IF(Current_IT=0.4,Allowances!H29*Onbond_HR,Allowances!H29*Onbond_AR))))</f>
        <v/>
      </c>
      <c r="N73" s="64" t="str">
        <f t="shared" si="36"/>
        <v/>
      </c>
      <c r="O73" s="47"/>
      <c r="P73" s="47"/>
      <c r="Q73" s="47"/>
      <c r="R73" s="47"/>
      <c r="S73" s="47"/>
      <c r="V73" s="14"/>
    </row>
    <row r="74" spans="2:22" ht="15" customHeight="1" x14ac:dyDescent="0.25">
      <c r="B74" s="53">
        <v>15</v>
      </c>
      <c r="C74" s="46" t="str">
        <f t="shared" si="28"/>
        <v/>
      </c>
      <c r="D74" s="50" t="str">
        <f t="shared" si="37"/>
        <v/>
      </c>
      <c r="E74" s="50" t="str">
        <f t="shared" si="29"/>
        <v/>
      </c>
      <c r="F74" s="50" t="str">
        <f t="shared" ca="1" si="30"/>
        <v/>
      </c>
      <c r="G74" s="50" t="str">
        <f t="shared" si="31"/>
        <v/>
      </c>
      <c r="H74" s="50" t="str">
        <f t="shared" ca="1" si="32"/>
        <v/>
      </c>
      <c r="I74" s="50" t="str">
        <f t="shared" si="33"/>
        <v/>
      </c>
      <c r="J74" s="50" t="str">
        <f t="shared" si="34"/>
        <v/>
      </c>
      <c r="K74" s="50" t="str">
        <f t="shared" si="38"/>
        <v/>
      </c>
      <c r="L74" s="50" t="str">
        <f t="shared" si="35"/>
        <v/>
      </c>
      <c r="M74" s="50" t="str">
        <f>IF(C74="","",IF(C74=Term,0,IF(OR(Current_IT=0,Current_IT=0.2),Allowances!H30*Onbond_Non_BR,IF(Current_IT=0.4,Allowances!H30*Onbond_HR,Allowances!H30*Onbond_AR))))</f>
        <v/>
      </c>
      <c r="N74" s="64" t="str">
        <f t="shared" si="36"/>
        <v/>
      </c>
      <c r="O74" s="81"/>
      <c r="P74" s="87" t="s">
        <v>106</v>
      </c>
      <c r="Q74" s="87"/>
      <c r="R74" s="87"/>
      <c r="S74" s="87"/>
      <c r="T74" s="87"/>
      <c r="U74" s="87"/>
      <c r="V74" s="77"/>
    </row>
    <row r="75" spans="2:22" x14ac:dyDescent="0.25">
      <c r="B75" s="53">
        <v>16</v>
      </c>
      <c r="C75" s="46" t="str">
        <f t="shared" si="28"/>
        <v/>
      </c>
      <c r="D75" s="50" t="str">
        <f t="shared" si="37"/>
        <v/>
      </c>
      <c r="E75" s="50" t="str">
        <f t="shared" si="29"/>
        <v/>
      </c>
      <c r="F75" s="50" t="str">
        <f t="shared" ca="1" si="30"/>
        <v/>
      </c>
      <c r="G75" s="50" t="str">
        <f t="shared" si="31"/>
        <v/>
      </c>
      <c r="H75" s="50" t="str">
        <f t="shared" ca="1" si="32"/>
        <v/>
      </c>
      <c r="I75" s="50" t="str">
        <f t="shared" si="33"/>
        <v/>
      </c>
      <c r="J75" s="50" t="str">
        <f t="shared" si="34"/>
        <v/>
      </c>
      <c r="K75" s="50" t="str">
        <f t="shared" si="38"/>
        <v/>
      </c>
      <c r="L75" s="50" t="str">
        <f t="shared" si="35"/>
        <v/>
      </c>
      <c r="M75" s="50" t="str">
        <f>IF(C75="","",IF(C75=Term,0,IF(OR(Current_IT=0,Current_IT=0.2),Allowances!H31*Onbond_Non_BR,IF(Current_IT=0.4,Allowances!H31*Onbond_HR,Allowances!H31*Onbond_AR))))</f>
        <v/>
      </c>
      <c r="N75" s="64" t="str">
        <f t="shared" si="36"/>
        <v/>
      </c>
      <c r="O75" s="81"/>
      <c r="P75" s="87"/>
      <c r="Q75" s="87"/>
      <c r="R75" s="87"/>
      <c r="S75" s="87"/>
      <c r="T75" s="87"/>
      <c r="U75" s="87"/>
      <c r="V75" s="77"/>
    </row>
    <row r="76" spans="2:22" x14ac:dyDescent="0.25">
      <c r="B76" s="53">
        <v>17</v>
      </c>
      <c r="C76" s="46" t="str">
        <f t="shared" si="28"/>
        <v/>
      </c>
      <c r="D76" s="50" t="str">
        <f t="shared" si="37"/>
        <v/>
      </c>
      <c r="E76" s="50" t="str">
        <f t="shared" si="29"/>
        <v/>
      </c>
      <c r="F76" s="50" t="str">
        <f t="shared" ca="1" si="30"/>
        <v/>
      </c>
      <c r="G76" s="50" t="str">
        <f t="shared" si="31"/>
        <v/>
      </c>
      <c r="H76" s="50" t="str">
        <f t="shared" ca="1" si="32"/>
        <v/>
      </c>
      <c r="I76" s="50" t="str">
        <f t="shared" si="33"/>
        <v/>
      </c>
      <c r="J76" s="50" t="str">
        <f t="shared" si="34"/>
        <v/>
      </c>
      <c r="K76" s="50" t="str">
        <f t="shared" si="38"/>
        <v/>
      </c>
      <c r="L76" s="50" t="str">
        <f t="shared" si="35"/>
        <v/>
      </c>
      <c r="M76" s="50" t="str">
        <f>IF(C76="","",IF(C76=Term,0,IF(OR(Current_IT=0,Current_IT=0.2),Allowances!H32*Onbond_Non_BR,IF(Current_IT=0.4,Allowances!H32*Onbond_HR,Allowances!H32*Onbond_AR))))</f>
        <v/>
      </c>
      <c r="N76" s="64" t="str">
        <f t="shared" si="36"/>
        <v/>
      </c>
      <c r="O76" s="81"/>
      <c r="P76" s="87"/>
      <c r="Q76" s="87"/>
      <c r="R76" s="87"/>
      <c r="S76" s="87"/>
      <c r="T76" s="87"/>
      <c r="U76" s="87"/>
      <c r="V76" s="77"/>
    </row>
    <row r="77" spans="2:22" x14ac:dyDescent="0.25">
      <c r="B77" s="53">
        <v>18</v>
      </c>
      <c r="C77" s="46" t="str">
        <f t="shared" si="28"/>
        <v/>
      </c>
      <c r="D77" s="50" t="str">
        <f t="shared" si="37"/>
        <v/>
      </c>
      <c r="E77" s="50" t="str">
        <f t="shared" si="29"/>
        <v/>
      </c>
      <c r="F77" s="50" t="str">
        <f t="shared" ca="1" si="30"/>
        <v/>
      </c>
      <c r="G77" s="50" t="str">
        <f t="shared" si="31"/>
        <v/>
      </c>
      <c r="H77" s="50" t="str">
        <f t="shared" ca="1" si="32"/>
        <v/>
      </c>
      <c r="I77" s="50" t="str">
        <f t="shared" si="33"/>
        <v/>
      </c>
      <c r="J77" s="50" t="str">
        <f t="shared" si="34"/>
        <v/>
      </c>
      <c r="K77" s="50" t="str">
        <f t="shared" si="38"/>
        <v/>
      </c>
      <c r="L77" s="50" t="str">
        <f t="shared" si="35"/>
        <v/>
      </c>
      <c r="M77" s="50" t="str">
        <f>IF(C77="","",IF(C77=Term,0,IF(OR(Current_IT=0,Current_IT=0.2),Allowances!H33*Onbond_Non_BR,IF(Current_IT=0.4,Allowances!H33*Onbond_HR,Allowances!H33*Onbond_AR))))</f>
        <v/>
      </c>
      <c r="N77" s="64" t="str">
        <f t="shared" si="36"/>
        <v/>
      </c>
      <c r="O77" s="75"/>
      <c r="P77" s="75"/>
      <c r="Q77" s="75"/>
      <c r="R77" s="75"/>
      <c r="S77" s="75"/>
      <c r="T77" s="75"/>
      <c r="V77" s="14"/>
    </row>
    <row r="78" spans="2:22" x14ac:dyDescent="0.25">
      <c r="B78" s="53">
        <v>19</v>
      </c>
      <c r="C78" s="46" t="str">
        <f t="shared" si="28"/>
        <v/>
      </c>
      <c r="D78" s="50" t="str">
        <f t="shared" si="37"/>
        <v/>
      </c>
      <c r="E78" s="50" t="str">
        <f t="shared" si="29"/>
        <v/>
      </c>
      <c r="F78" s="50" t="str">
        <f t="shared" ca="1" si="30"/>
        <v/>
      </c>
      <c r="G78" s="50" t="str">
        <f t="shared" si="31"/>
        <v/>
      </c>
      <c r="H78" s="50" t="str">
        <f t="shared" ca="1" si="32"/>
        <v/>
      </c>
      <c r="I78" s="50" t="str">
        <f t="shared" si="33"/>
        <v/>
      </c>
      <c r="J78" s="50" t="str">
        <f t="shared" si="34"/>
        <v/>
      </c>
      <c r="K78" s="50" t="str">
        <f t="shared" si="38"/>
        <v/>
      </c>
      <c r="L78" s="50" t="str">
        <f t="shared" si="35"/>
        <v/>
      </c>
      <c r="M78" s="50" t="str">
        <f>IF(C78="","",IF(C78=Term,0,IF(OR(Current_IT=0,Current_IT=0.2),Allowances!H34*Onbond_Non_BR,IF(Current_IT=0.4,Allowances!H34*Onbond_HR,Allowances!H34*Onbond_AR))))</f>
        <v/>
      </c>
      <c r="N78" s="64" t="str">
        <f t="shared" si="36"/>
        <v/>
      </c>
      <c r="O78" s="47"/>
      <c r="P78" s="47"/>
      <c r="Q78" s="47"/>
      <c r="R78" s="47"/>
      <c r="S78" s="47"/>
      <c r="V78" s="14"/>
    </row>
    <row r="79" spans="2:22" x14ac:dyDescent="0.25">
      <c r="B79" s="53">
        <v>20</v>
      </c>
      <c r="C79" s="46" t="str">
        <f t="shared" si="28"/>
        <v/>
      </c>
      <c r="D79" s="50" t="str">
        <f t="shared" si="37"/>
        <v/>
      </c>
      <c r="E79" s="50" t="str">
        <f t="shared" si="29"/>
        <v/>
      </c>
      <c r="F79" s="50" t="str">
        <f t="shared" ca="1" si="30"/>
        <v/>
      </c>
      <c r="G79" s="50" t="str">
        <f t="shared" si="31"/>
        <v/>
      </c>
      <c r="H79" s="50" t="str">
        <f t="shared" ca="1" si="32"/>
        <v/>
      </c>
      <c r="I79" s="50" t="str">
        <f t="shared" si="33"/>
        <v/>
      </c>
      <c r="J79" s="50" t="str">
        <f t="shared" si="34"/>
        <v/>
      </c>
      <c r="K79" s="50" t="str">
        <f t="shared" si="38"/>
        <v/>
      </c>
      <c r="L79" s="50" t="str">
        <f t="shared" si="35"/>
        <v/>
      </c>
      <c r="M79" s="50" t="str">
        <f>IF(C79="","",IF(C79=Term,0,IF(OR(Current_IT=0,Current_IT=0.2),Allowances!H35*Onbond_Non_BR,IF(Current_IT=0.4,Allowances!H35*Onbond_HR,Allowances!H35*Onbond_AR))))</f>
        <v/>
      </c>
      <c r="N79" s="64" t="str">
        <f t="shared" si="36"/>
        <v/>
      </c>
      <c r="O79" s="47"/>
      <c r="P79" s="47"/>
      <c r="Q79" s="47"/>
      <c r="R79" s="47"/>
      <c r="S79" s="47"/>
      <c r="V79" s="14"/>
    </row>
    <row r="80" spans="2:22" x14ac:dyDescent="0.25">
      <c r="B80" s="12"/>
      <c r="D80" s="1"/>
      <c r="E80" s="1"/>
      <c r="F80" s="57">
        <f ca="1">SUM(F60:F79)</f>
        <v>0</v>
      </c>
      <c r="G80" s="1"/>
      <c r="H80" s="57">
        <f ca="1">SUM(H60:H79)</f>
        <v>0</v>
      </c>
      <c r="I80" s="1"/>
      <c r="J80" s="57">
        <f ca="1">SUM(J60:J79)</f>
        <v>0</v>
      </c>
      <c r="K80" s="57">
        <f ca="1">SUM(K60:K79)</f>
        <v>0</v>
      </c>
      <c r="L80" s="57">
        <f ca="1">SUM(L60:L79)</f>
        <v>0</v>
      </c>
      <c r="M80" s="70">
        <f ca="1">SUM(M60:M79)</f>
        <v>0</v>
      </c>
      <c r="N80" s="52" cm="1">
        <f t="array" aca="1" ref="N80" ca="1">LOOKUP(2,1/(N60:N79&lt;&gt;""),N60:N79)</f>
        <v>100000</v>
      </c>
      <c r="V80" s="14"/>
    </row>
    <row r="81" spans="2:22" x14ac:dyDescent="0.25">
      <c r="B81" s="12"/>
      <c r="V81" s="14"/>
    </row>
    <row r="82" spans="2:22" x14ac:dyDescent="0.25">
      <c r="B82" s="12"/>
      <c r="V82" s="14"/>
    </row>
    <row r="83" spans="2:22" ht="15.75" thickBot="1" x14ac:dyDescent="0.3">
      <c r="B83" s="15"/>
      <c r="C83" s="16"/>
      <c r="D83" s="16"/>
      <c r="E83" s="16"/>
      <c r="F83" s="16"/>
      <c r="G83" s="16"/>
      <c r="H83" s="16"/>
      <c r="I83" s="16"/>
      <c r="J83" s="16"/>
      <c r="K83" s="16"/>
      <c r="L83" s="16"/>
      <c r="M83" s="16"/>
      <c r="N83" s="16"/>
      <c r="O83" s="16"/>
      <c r="P83" s="16"/>
      <c r="Q83" s="16"/>
      <c r="R83" s="16"/>
      <c r="S83" s="16"/>
      <c r="T83" s="16"/>
      <c r="U83" s="16"/>
      <c r="V83" s="17"/>
    </row>
    <row r="84" spans="2:22" ht="15.75" thickTop="1" x14ac:dyDescent="0.25"/>
    <row r="85" spans="2:22" x14ac:dyDescent="0.25"/>
    <row r="86" spans="2:22" x14ac:dyDescent="0.25"/>
  </sheetData>
  <sheetProtection algorithmName="SHA-512" hashValue="vX4leZSi1kzCcpjuJfUT/c/Ukw9wFPC7bh7e5z+Ru8283jNxgeYF2HgejJkJ0uksKFgAy3il8+zOg6pnz0yB4g==" saltValue="6x3xE4QcLwQmFBVg5hrd3g==" spinCount="100000" sheet="1" selectLockedCells="1" selectUnlockedCells="1"/>
  <mergeCells count="10">
    <mergeCell ref="D5:G5"/>
    <mergeCell ref="P34:U40"/>
    <mergeCell ref="P42:U46"/>
    <mergeCell ref="P48:U50"/>
    <mergeCell ref="P51:U56"/>
    <mergeCell ref="P57:U59"/>
    <mergeCell ref="P60:U66"/>
    <mergeCell ref="P67:U70"/>
    <mergeCell ref="P72:U72"/>
    <mergeCell ref="P74:U76"/>
  </mergeCells>
  <pageMargins left="0.70866141732283472" right="0.70866141732283472" top="0.74803149606299213" bottom="0.74803149606299213" header="0.31496062992125984" footer="0.31496062992125984"/>
  <pageSetup paperSize="9" scale="40" orientation="landscape" r:id="rId1"/>
  <ignoredErrors>
    <ignoredError sqref="C10 G35:G54 I35:I54 G60:G79 G30:H30" formula="1"/>
    <ignoredError sqref="B21 B22:B29"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BD3CD-8A4A-48EA-82C0-892B1B7A3F19}">
  <dimension ref="A1:U100"/>
  <sheetViews>
    <sheetView workbookViewId="0">
      <selection activeCell="G17" sqref="G17"/>
    </sheetView>
  </sheetViews>
  <sheetFormatPr defaultRowHeight="15" x14ac:dyDescent="0.25"/>
  <cols>
    <col min="5" max="5" width="17.5703125" bestFit="1" customWidth="1"/>
    <col min="6" max="6" width="12.5703125" bestFit="1" customWidth="1"/>
    <col min="7" max="7" width="12.140625" bestFit="1" customWidth="1"/>
    <col min="8" max="8" width="10.140625" bestFit="1" customWidth="1"/>
    <col min="9" max="9" width="14.5703125" bestFit="1" customWidth="1"/>
    <col min="10" max="10" width="13.42578125" bestFit="1" customWidth="1"/>
  </cols>
  <sheetData>
    <row r="1" spans="1:21" x14ac:dyDescent="0.25">
      <c r="B1" t="s">
        <v>14</v>
      </c>
      <c r="C1" t="s">
        <v>27</v>
      </c>
      <c r="D1" t="s">
        <v>28</v>
      </c>
      <c r="E1" t="s">
        <v>30</v>
      </c>
      <c r="F1" t="s">
        <v>31</v>
      </c>
      <c r="I1" t="s">
        <v>42</v>
      </c>
      <c r="K1" t="s">
        <v>74</v>
      </c>
      <c r="L1" t="s">
        <v>75</v>
      </c>
      <c r="M1" t="s">
        <v>76</v>
      </c>
      <c r="P1" t="s">
        <v>17</v>
      </c>
      <c r="R1" t="s">
        <v>77</v>
      </c>
      <c r="S1" t="s">
        <v>78</v>
      </c>
      <c r="U1" t="s">
        <v>79</v>
      </c>
    </row>
    <row r="2" spans="1:21" x14ac:dyDescent="0.25">
      <c r="A2">
        <v>2022</v>
      </c>
      <c r="B2">
        <v>12300</v>
      </c>
      <c r="C2">
        <v>2000</v>
      </c>
      <c r="D2">
        <v>1000</v>
      </c>
      <c r="E2">
        <v>12570</v>
      </c>
      <c r="F2">
        <v>5000</v>
      </c>
      <c r="I2" s="2">
        <v>0</v>
      </c>
      <c r="J2" t="s">
        <v>90</v>
      </c>
      <c r="K2" s="2">
        <v>0</v>
      </c>
      <c r="L2" s="2">
        <v>0</v>
      </c>
      <c r="M2" s="2">
        <v>0.18</v>
      </c>
      <c r="P2" s="2">
        <v>0</v>
      </c>
      <c r="R2" s="2">
        <v>0.2</v>
      </c>
      <c r="S2" s="2">
        <v>0</v>
      </c>
      <c r="U2" s="2">
        <v>0</v>
      </c>
    </row>
    <row r="3" spans="1:21" x14ac:dyDescent="0.25">
      <c r="A3">
        <v>2023</v>
      </c>
      <c r="B3">
        <v>12300</v>
      </c>
      <c r="C3">
        <v>2000</v>
      </c>
      <c r="D3">
        <v>1000</v>
      </c>
      <c r="E3" t="s">
        <v>44</v>
      </c>
      <c r="F3" t="s">
        <v>86</v>
      </c>
      <c r="G3" t="s">
        <v>122</v>
      </c>
      <c r="I3" s="2">
        <v>0.1</v>
      </c>
      <c r="J3" t="s">
        <v>87</v>
      </c>
      <c r="K3" s="2">
        <v>0.2</v>
      </c>
      <c r="L3" s="3">
        <v>0.1075</v>
      </c>
      <c r="M3" s="2">
        <v>0.18</v>
      </c>
      <c r="P3" s="3">
        <v>2.5000000000000001E-3</v>
      </c>
      <c r="R3" s="2">
        <v>0.22</v>
      </c>
    </row>
    <row r="4" spans="1:21" x14ac:dyDescent="0.25">
      <c r="A4">
        <v>2024</v>
      </c>
      <c r="B4">
        <v>6000</v>
      </c>
      <c r="C4">
        <v>1000</v>
      </c>
      <c r="D4">
        <v>1000</v>
      </c>
      <c r="E4">
        <f ca="1">MIN(IF(F4&gt;100000,(F4-100000)/2,0),E2)</f>
        <v>0</v>
      </c>
      <c r="F4" s="1">
        <f ca="1">MAX(ROUNDDOWN(offbond_clsg+offbond_withs-initial_investment-Total_excess,0),0)</f>
        <v>0</v>
      </c>
      <c r="G4" s="1">
        <f ca="1">MAX(ROUNDDOWN(onbond_clsg+onbond_total_withs-initial_investment-Total_excess,0),0)</f>
        <v>0</v>
      </c>
      <c r="I4" s="2">
        <v>0.2</v>
      </c>
      <c r="J4" t="s">
        <v>88</v>
      </c>
      <c r="K4" s="2">
        <v>0.4</v>
      </c>
      <c r="L4" s="3">
        <v>0.35749999999999998</v>
      </c>
      <c r="M4" s="2">
        <v>0.24</v>
      </c>
      <c r="P4" s="3">
        <v>5.0000000000000001E-3</v>
      </c>
    </row>
    <row r="5" spans="1:21" x14ac:dyDescent="0.25">
      <c r="A5">
        <v>2025</v>
      </c>
      <c r="B5">
        <v>3000</v>
      </c>
      <c r="C5">
        <v>500</v>
      </c>
      <c r="D5">
        <v>1000</v>
      </c>
      <c r="I5" s="2">
        <v>0.3</v>
      </c>
      <c r="J5" t="s">
        <v>89</v>
      </c>
      <c r="K5" s="2">
        <v>0.45</v>
      </c>
      <c r="L5" s="3">
        <v>0.39350000000000002</v>
      </c>
      <c r="M5" s="3">
        <v>0.24</v>
      </c>
      <c r="P5" s="3">
        <v>7.4999999999999997E-3</v>
      </c>
      <c r="R5" t="s">
        <v>82</v>
      </c>
    </row>
    <row r="6" spans="1:21" x14ac:dyDescent="0.25">
      <c r="A6">
        <v>2026</v>
      </c>
      <c r="B6">
        <v>3000</v>
      </c>
      <c r="C6">
        <v>500</v>
      </c>
      <c r="D6">
        <v>1000</v>
      </c>
      <c r="E6" t="s">
        <v>45</v>
      </c>
      <c r="I6" s="2">
        <v>0.4</v>
      </c>
      <c r="P6" s="3">
        <v>0.01</v>
      </c>
      <c r="R6" t="s">
        <v>85</v>
      </c>
      <c r="S6" s="2">
        <v>0</v>
      </c>
    </row>
    <row r="7" spans="1:21" x14ac:dyDescent="0.25">
      <c r="A7">
        <v>2027</v>
      </c>
      <c r="B7">
        <v>3000</v>
      </c>
      <c r="C7">
        <v>500</v>
      </c>
      <c r="D7">
        <v>1000</v>
      </c>
      <c r="E7">
        <f ca="1">MAX(0,E2-E4)</f>
        <v>12570</v>
      </c>
      <c r="I7" s="2">
        <v>0.5</v>
      </c>
      <c r="K7" t="s">
        <v>92</v>
      </c>
      <c r="L7" t="s">
        <v>93</v>
      </c>
      <c r="M7" t="s">
        <v>14</v>
      </c>
      <c r="P7" s="3">
        <v>1.2500000000000001E-2</v>
      </c>
      <c r="R7" t="s">
        <v>83</v>
      </c>
      <c r="S7" s="2">
        <v>0.2</v>
      </c>
    </row>
    <row r="8" spans="1:21" x14ac:dyDescent="0.25">
      <c r="A8">
        <v>2028</v>
      </c>
      <c r="B8">
        <v>3000</v>
      </c>
      <c r="C8">
        <v>500</v>
      </c>
      <c r="D8">
        <v>1000</v>
      </c>
      <c r="I8" s="2">
        <v>0.6</v>
      </c>
      <c r="J8" t="s">
        <v>91</v>
      </c>
      <c r="K8" s="3">
        <f>VLOOKUP(Current_tax,TAX_lookup,2,FALSE)</f>
        <v>0.2</v>
      </c>
      <c r="L8" s="3">
        <f>VLOOKUP(Current_tax,TAX_lookup,3,FALSE)</f>
        <v>0.1075</v>
      </c>
      <c r="M8" s="3">
        <f>VLOOKUP(Current_tax,TAX_lookup,4,FALSE)</f>
        <v>0.18</v>
      </c>
      <c r="P8" s="3">
        <v>1.4999999999999999E-2</v>
      </c>
      <c r="R8" t="s">
        <v>84</v>
      </c>
      <c r="S8" s="2">
        <v>0.25</v>
      </c>
    </row>
    <row r="9" spans="1:21" x14ac:dyDescent="0.25">
      <c r="A9">
        <v>2029</v>
      </c>
      <c r="B9">
        <f>ROUNDUP(B8*1.02,0)</f>
        <v>3060</v>
      </c>
      <c r="C9">
        <f t="shared" ref="C9:D24" si="0">ROUNDUP(C8*1.02,0)</f>
        <v>510</v>
      </c>
      <c r="D9">
        <f t="shared" si="0"/>
        <v>1020</v>
      </c>
      <c r="E9" t="s">
        <v>48</v>
      </c>
      <c r="I9" s="2">
        <v>0.7</v>
      </c>
      <c r="J9" t="s">
        <v>94</v>
      </c>
      <c r="K9" s="63">
        <f>VLOOKUP(Expected_tax,TAX_lookup,2,FALSE)</f>
        <v>0.2</v>
      </c>
      <c r="L9" s="63">
        <f>VLOOKUP(Expected_tax,TAX_lookup,3,FALSE)</f>
        <v>0.1075</v>
      </c>
      <c r="M9" s="63">
        <f>VLOOKUP(Expected_tax,TAX_lookup,4,FALSE)</f>
        <v>0.18</v>
      </c>
      <c r="P9" s="3">
        <v>1.7500000000000002E-2</v>
      </c>
    </row>
    <row r="10" spans="1:21" x14ac:dyDescent="0.25">
      <c r="A10">
        <v>2030</v>
      </c>
      <c r="B10">
        <f t="shared" ref="B10:D25" si="1">ROUNDUP(B9*1.02,0)</f>
        <v>3122</v>
      </c>
      <c r="C10">
        <f t="shared" si="0"/>
        <v>521</v>
      </c>
      <c r="D10">
        <f t="shared" si="0"/>
        <v>1041</v>
      </c>
      <c r="E10" t="s">
        <v>15</v>
      </c>
      <c r="I10" s="2">
        <v>0.8</v>
      </c>
      <c r="J10" t="s">
        <v>107</v>
      </c>
      <c r="K10" s="3">
        <f>VLOOKUP(Current_tax,Tobe_lookup,2,FALSE)</f>
        <v>0.22</v>
      </c>
      <c r="P10" s="3">
        <v>0.02</v>
      </c>
    </row>
    <row r="11" spans="1:21" x14ac:dyDescent="0.25">
      <c r="A11">
        <v>2031</v>
      </c>
      <c r="B11">
        <f t="shared" si="1"/>
        <v>3185</v>
      </c>
      <c r="C11">
        <f t="shared" si="0"/>
        <v>532</v>
      </c>
      <c r="D11">
        <f t="shared" si="0"/>
        <v>1062</v>
      </c>
      <c r="E11" t="s">
        <v>16</v>
      </c>
      <c r="I11" s="2">
        <v>0.9</v>
      </c>
      <c r="J11" t="s">
        <v>108</v>
      </c>
      <c r="K11" s="3">
        <f>VLOOKUP(Expected_tax,Tobe_lookup,2,FALSE)</f>
        <v>0.22</v>
      </c>
      <c r="P11" s="3">
        <v>2.2499999999999999E-2</v>
      </c>
    </row>
    <row r="12" spans="1:21" x14ac:dyDescent="0.25">
      <c r="A12">
        <v>2032</v>
      </c>
      <c r="B12">
        <f t="shared" si="1"/>
        <v>3249</v>
      </c>
      <c r="C12">
        <f t="shared" si="0"/>
        <v>543</v>
      </c>
      <c r="D12">
        <f t="shared" si="0"/>
        <v>1084</v>
      </c>
      <c r="I12" s="2">
        <v>1</v>
      </c>
      <c r="P12" s="3">
        <v>2.5000000000000001E-2</v>
      </c>
    </row>
    <row r="13" spans="1:21" x14ac:dyDescent="0.25">
      <c r="A13">
        <v>2033</v>
      </c>
      <c r="B13">
        <f t="shared" si="1"/>
        <v>3314</v>
      </c>
      <c r="C13">
        <f t="shared" si="0"/>
        <v>554</v>
      </c>
      <c r="D13">
        <f t="shared" si="0"/>
        <v>1106</v>
      </c>
      <c r="K13" t="s">
        <v>74</v>
      </c>
      <c r="P13" s="3">
        <v>2.75E-2</v>
      </c>
    </row>
    <row r="14" spans="1:21" x14ac:dyDescent="0.25">
      <c r="A14">
        <v>2034</v>
      </c>
      <c r="B14">
        <f t="shared" si="1"/>
        <v>3381</v>
      </c>
      <c r="C14">
        <f t="shared" si="0"/>
        <v>566</v>
      </c>
      <c r="D14">
        <f t="shared" si="0"/>
        <v>1129</v>
      </c>
      <c r="J14" t="s">
        <v>90</v>
      </c>
      <c r="K14" s="2">
        <v>0</v>
      </c>
      <c r="L14" s="2"/>
      <c r="M14" s="2"/>
      <c r="P14" s="3">
        <v>0.03</v>
      </c>
    </row>
    <row r="15" spans="1:21" x14ac:dyDescent="0.25">
      <c r="A15">
        <v>2035</v>
      </c>
      <c r="B15">
        <f t="shared" si="1"/>
        <v>3449</v>
      </c>
      <c r="C15">
        <f t="shared" si="0"/>
        <v>578</v>
      </c>
      <c r="D15">
        <f t="shared" si="0"/>
        <v>1152</v>
      </c>
      <c r="E15" s="69"/>
      <c r="F15" s="69" t="s">
        <v>118</v>
      </c>
      <c r="H15" s="69" t="s">
        <v>119</v>
      </c>
      <c r="I15" s="69" t="s">
        <v>120</v>
      </c>
      <c r="J15" t="s">
        <v>87</v>
      </c>
      <c r="K15" s="2">
        <v>0.22</v>
      </c>
      <c r="L15" s="3"/>
      <c r="M15" s="2"/>
      <c r="P15" s="3">
        <v>3.2500000000000001E-2</v>
      </c>
    </row>
    <row r="16" spans="1:21" x14ac:dyDescent="0.25">
      <c r="A16">
        <v>2036</v>
      </c>
      <c r="B16">
        <f t="shared" si="1"/>
        <v>3518</v>
      </c>
      <c r="C16">
        <f t="shared" si="0"/>
        <v>590</v>
      </c>
      <c r="D16">
        <f t="shared" si="0"/>
        <v>1176</v>
      </c>
      <c r="E16">
        <v>1</v>
      </c>
      <c r="F16">
        <f t="shared" ref="F16:F35" si="2">IF(E16&gt;Term,"",initial_investment*5%)</f>
        <v>5000</v>
      </c>
      <c r="G16">
        <f ca="1">IF(Breakdown!L60&lt;&gt;"",Breakdown!L60,"")</f>
        <v>0</v>
      </c>
      <c r="H16">
        <f ca="1">IFERROR(MAX(G16-F16,0),"")</f>
        <v>0</v>
      </c>
      <c r="I16">
        <f ca="1">IFERROR(MAX(F16-G16,0),0)</f>
        <v>5000</v>
      </c>
      <c r="J16" t="s">
        <v>88</v>
      </c>
      <c r="K16" s="2">
        <v>0.42</v>
      </c>
      <c r="L16" s="3"/>
      <c r="M16" s="2"/>
      <c r="P16" s="3">
        <v>3.5000000000000003E-2</v>
      </c>
    </row>
    <row r="17" spans="1:16" x14ac:dyDescent="0.25">
      <c r="A17">
        <v>2037</v>
      </c>
      <c r="B17">
        <f t="shared" si="1"/>
        <v>3589</v>
      </c>
      <c r="C17">
        <f t="shared" si="0"/>
        <v>602</v>
      </c>
      <c r="D17">
        <f t="shared" si="0"/>
        <v>1200</v>
      </c>
      <c r="E17">
        <v>2</v>
      </c>
      <c r="F17">
        <f t="shared" si="2"/>
        <v>5000</v>
      </c>
      <c r="G17">
        <f ca="1">IF(Breakdown!L61&lt;&gt;"",Breakdown!L61,"")</f>
        <v>0</v>
      </c>
      <c r="H17">
        <f t="shared" ref="H17:H35" ca="1" si="3">IFERROR(MAX(G17-F17,0),"")</f>
        <v>0</v>
      </c>
      <c r="I17">
        <f t="shared" ref="I17:I35" ca="1" si="4">IFERROR(MAX(F17-G17,0),0)</f>
        <v>5000</v>
      </c>
      <c r="J17" t="s">
        <v>89</v>
      </c>
      <c r="K17" s="2">
        <v>0.47</v>
      </c>
      <c r="L17" s="3"/>
      <c r="M17" s="3"/>
      <c r="P17" s="3">
        <v>3.7499999999999999E-2</v>
      </c>
    </row>
    <row r="18" spans="1:16" x14ac:dyDescent="0.25">
      <c r="A18">
        <v>2038</v>
      </c>
      <c r="B18">
        <f t="shared" si="1"/>
        <v>3661</v>
      </c>
      <c r="C18">
        <f t="shared" si="0"/>
        <v>615</v>
      </c>
      <c r="D18">
        <f t="shared" si="0"/>
        <v>1224</v>
      </c>
      <c r="E18">
        <v>3</v>
      </c>
      <c r="F18">
        <f t="shared" si="2"/>
        <v>5000</v>
      </c>
      <c r="G18">
        <f ca="1">IF(Breakdown!L62&lt;&gt;"",Breakdown!L62,"")</f>
        <v>0</v>
      </c>
      <c r="H18">
        <f t="shared" ca="1" si="3"/>
        <v>0</v>
      </c>
      <c r="I18">
        <f t="shared" ca="1" si="4"/>
        <v>5000</v>
      </c>
      <c r="P18" s="3">
        <v>0.04</v>
      </c>
    </row>
    <row r="19" spans="1:16" x14ac:dyDescent="0.25">
      <c r="A19">
        <v>2039</v>
      </c>
      <c r="B19">
        <f t="shared" si="1"/>
        <v>3735</v>
      </c>
      <c r="C19">
        <f t="shared" si="0"/>
        <v>628</v>
      </c>
      <c r="D19">
        <f t="shared" si="0"/>
        <v>1249</v>
      </c>
      <c r="E19">
        <v>4</v>
      </c>
      <c r="F19">
        <f t="shared" si="2"/>
        <v>5000</v>
      </c>
      <c r="G19">
        <f ca="1">IF(Breakdown!L63&lt;&gt;"",Breakdown!L63,"")</f>
        <v>0</v>
      </c>
      <c r="H19">
        <f t="shared" ca="1" si="3"/>
        <v>0</v>
      </c>
      <c r="I19">
        <f t="shared" ca="1" si="4"/>
        <v>5000</v>
      </c>
      <c r="P19" s="3">
        <v>4.2500000000000003E-2</v>
      </c>
    </row>
    <row r="20" spans="1:16" x14ac:dyDescent="0.25">
      <c r="A20">
        <v>2040</v>
      </c>
      <c r="B20">
        <f t="shared" si="1"/>
        <v>3810</v>
      </c>
      <c r="C20">
        <f t="shared" si="0"/>
        <v>641</v>
      </c>
      <c r="D20">
        <f t="shared" si="0"/>
        <v>1274</v>
      </c>
      <c r="E20">
        <v>5</v>
      </c>
      <c r="F20">
        <f t="shared" si="2"/>
        <v>5000</v>
      </c>
      <c r="G20">
        <f ca="1">IF(Breakdown!L64&lt;&gt;"",Breakdown!L64,"")</f>
        <v>0</v>
      </c>
      <c r="H20">
        <f t="shared" ca="1" si="3"/>
        <v>0</v>
      </c>
      <c r="I20">
        <f t="shared" ca="1" si="4"/>
        <v>5000</v>
      </c>
      <c r="P20" s="3">
        <v>4.4999999999999998E-2</v>
      </c>
    </row>
    <row r="21" spans="1:16" x14ac:dyDescent="0.25">
      <c r="A21">
        <v>2041</v>
      </c>
      <c r="B21">
        <f t="shared" si="1"/>
        <v>3887</v>
      </c>
      <c r="C21">
        <f t="shared" si="0"/>
        <v>654</v>
      </c>
      <c r="D21">
        <f t="shared" si="0"/>
        <v>1300</v>
      </c>
      <c r="E21">
        <v>6</v>
      </c>
      <c r="F21">
        <f t="shared" si="2"/>
        <v>5000</v>
      </c>
      <c r="G21">
        <f ca="1">IF(Breakdown!L65&lt;&gt;"",Breakdown!L65,"")</f>
        <v>0</v>
      </c>
      <c r="H21">
        <f t="shared" ca="1" si="3"/>
        <v>0</v>
      </c>
      <c r="I21">
        <f t="shared" ca="1" si="4"/>
        <v>5000</v>
      </c>
      <c r="P21" s="3">
        <v>4.7500000000000001E-2</v>
      </c>
    </row>
    <row r="22" spans="1:16" x14ac:dyDescent="0.25">
      <c r="A22">
        <v>2042</v>
      </c>
      <c r="B22">
        <f t="shared" si="1"/>
        <v>3965</v>
      </c>
      <c r="C22">
        <f t="shared" si="0"/>
        <v>668</v>
      </c>
      <c r="D22">
        <f t="shared" si="0"/>
        <v>1326</v>
      </c>
      <c r="E22">
        <v>7</v>
      </c>
      <c r="F22">
        <f t="shared" si="2"/>
        <v>5000</v>
      </c>
      <c r="G22">
        <f ca="1">IF(Breakdown!L66&lt;&gt;"",Breakdown!L66,"")</f>
        <v>0</v>
      </c>
      <c r="H22">
        <f t="shared" ca="1" si="3"/>
        <v>0</v>
      </c>
      <c r="I22">
        <f t="shared" ca="1" si="4"/>
        <v>5000</v>
      </c>
      <c r="P22" s="3">
        <v>0.05</v>
      </c>
    </row>
    <row r="23" spans="1:16" x14ac:dyDescent="0.25">
      <c r="A23">
        <v>2043</v>
      </c>
      <c r="B23">
        <f t="shared" si="1"/>
        <v>4045</v>
      </c>
      <c r="C23">
        <f t="shared" si="0"/>
        <v>682</v>
      </c>
      <c r="D23">
        <f t="shared" si="0"/>
        <v>1353</v>
      </c>
      <c r="E23">
        <v>8</v>
      </c>
      <c r="F23">
        <f t="shared" si="2"/>
        <v>5000</v>
      </c>
      <c r="G23">
        <f ca="1">IF(Breakdown!L67&lt;&gt;"",Breakdown!L67,"")</f>
        <v>0</v>
      </c>
      <c r="H23">
        <f t="shared" ca="1" si="3"/>
        <v>0</v>
      </c>
      <c r="I23">
        <f t="shared" ca="1" si="4"/>
        <v>5000</v>
      </c>
    </row>
    <row r="24" spans="1:16" x14ac:dyDescent="0.25">
      <c r="A24">
        <v>2044</v>
      </c>
      <c r="B24">
        <f t="shared" si="1"/>
        <v>4126</v>
      </c>
      <c r="C24">
        <f t="shared" si="0"/>
        <v>696</v>
      </c>
      <c r="D24">
        <f t="shared" si="0"/>
        <v>1381</v>
      </c>
      <c r="E24">
        <v>9</v>
      </c>
      <c r="F24">
        <f t="shared" si="2"/>
        <v>5000</v>
      </c>
      <c r="G24">
        <f ca="1">IF(Breakdown!L68&lt;&gt;"",Breakdown!L68,"")</f>
        <v>0</v>
      </c>
      <c r="H24">
        <f t="shared" ca="1" si="3"/>
        <v>0</v>
      </c>
      <c r="I24">
        <f t="shared" ca="1" si="4"/>
        <v>5000</v>
      </c>
    </row>
    <row r="25" spans="1:16" x14ac:dyDescent="0.25">
      <c r="A25">
        <v>2045</v>
      </c>
      <c r="B25">
        <f t="shared" si="1"/>
        <v>4209</v>
      </c>
      <c r="C25">
        <f t="shared" si="1"/>
        <v>710</v>
      </c>
      <c r="D25">
        <f t="shared" si="1"/>
        <v>1409</v>
      </c>
      <c r="E25">
        <v>10</v>
      </c>
      <c r="F25">
        <f t="shared" si="2"/>
        <v>5000</v>
      </c>
      <c r="G25">
        <f ca="1">IF(Breakdown!L69&lt;&gt;"",Breakdown!L69,"")</f>
        <v>0</v>
      </c>
      <c r="H25">
        <f t="shared" ca="1" si="3"/>
        <v>0</v>
      </c>
      <c r="I25">
        <f t="shared" ca="1" si="4"/>
        <v>5000</v>
      </c>
    </row>
    <row r="26" spans="1:16" x14ac:dyDescent="0.25">
      <c r="A26">
        <v>2046</v>
      </c>
      <c r="B26">
        <f t="shared" ref="B26:D41" si="5">ROUNDUP(B25*1.02,0)</f>
        <v>4294</v>
      </c>
      <c r="C26">
        <f t="shared" si="5"/>
        <v>725</v>
      </c>
      <c r="D26">
        <f t="shared" si="5"/>
        <v>1438</v>
      </c>
      <c r="E26">
        <v>11</v>
      </c>
      <c r="F26" t="str">
        <f t="shared" si="2"/>
        <v/>
      </c>
      <c r="G26" t="str">
        <f>IF(Breakdown!L70&lt;&gt;"",Breakdown!L70,"")</f>
        <v/>
      </c>
      <c r="H26" t="str">
        <f t="shared" si="3"/>
        <v/>
      </c>
      <c r="I26">
        <f t="shared" si="4"/>
        <v>0</v>
      </c>
    </row>
    <row r="27" spans="1:16" x14ac:dyDescent="0.25">
      <c r="A27">
        <v>2047</v>
      </c>
      <c r="B27">
        <f t="shared" si="5"/>
        <v>4380</v>
      </c>
      <c r="C27">
        <f t="shared" si="5"/>
        <v>740</v>
      </c>
      <c r="D27">
        <f t="shared" si="5"/>
        <v>1467</v>
      </c>
      <c r="E27">
        <v>12</v>
      </c>
      <c r="F27" t="str">
        <f t="shared" si="2"/>
        <v/>
      </c>
      <c r="G27" t="str">
        <f>IF(Breakdown!L71&lt;&gt;"",Breakdown!L71,"")</f>
        <v/>
      </c>
      <c r="H27" t="str">
        <f t="shared" si="3"/>
        <v/>
      </c>
      <c r="I27">
        <f t="shared" si="4"/>
        <v>0</v>
      </c>
    </row>
    <row r="28" spans="1:16" x14ac:dyDescent="0.25">
      <c r="A28">
        <v>2048</v>
      </c>
      <c r="B28">
        <f t="shared" si="5"/>
        <v>4468</v>
      </c>
      <c r="C28">
        <f t="shared" si="5"/>
        <v>755</v>
      </c>
      <c r="D28">
        <f t="shared" si="5"/>
        <v>1497</v>
      </c>
      <c r="E28">
        <v>13</v>
      </c>
      <c r="F28" t="str">
        <f t="shared" si="2"/>
        <v/>
      </c>
      <c r="G28" t="str">
        <f>IF(Breakdown!L72&lt;&gt;"",Breakdown!L72,"")</f>
        <v/>
      </c>
      <c r="H28" t="str">
        <f t="shared" si="3"/>
        <v/>
      </c>
      <c r="I28">
        <f t="shared" si="4"/>
        <v>0</v>
      </c>
    </row>
    <row r="29" spans="1:16" x14ac:dyDescent="0.25">
      <c r="A29">
        <v>2049</v>
      </c>
      <c r="B29">
        <f t="shared" si="5"/>
        <v>4558</v>
      </c>
      <c r="C29">
        <f t="shared" si="5"/>
        <v>771</v>
      </c>
      <c r="D29">
        <f t="shared" si="5"/>
        <v>1527</v>
      </c>
      <c r="E29">
        <v>14</v>
      </c>
      <c r="F29" t="str">
        <f t="shared" si="2"/>
        <v/>
      </c>
      <c r="G29" t="str">
        <f>IF(Breakdown!L73&lt;&gt;"",Breakdown!L73,"")</f>
        <v/>
      </c>
      <c r="H29" t="str">
        <f t="shared" si="3"/>
        <v/>
      </c>
      <c r="I29">
        <f t="shared" si="4"/>
        <v>0</v>
      </c>
    </row>
    <row r="30" spans="1:16" x14ac:dyDescent="0.25">
      <c r="A30">
        <v>2050</v>
      </c>
      <c r="B30">
        <f t="shared" si="5"/>
        <v>4650</v>
      </c>
      <c r="C30">
        <f t="shared" si="5"/>
        <v>787</v>
      </c>
      <c r="D30">
        <f t="shared" si="5"/>
        <v>1558</v>
      </c>
      <c r="E30">
        <v>15</v>
      </c>
      <c r="F30" t="str">
        <f t="shared" si="2"/>
        <v/>
      </c>
      <c r="G30" t="str">
        <f>IF(Breakdown!L74&lt;&gt;"",Breakdown!L74,"")</f>
        <v/>
      </c>
      <c r="H30" t="str">
        <f t="shared" si="3"/>
        <v/>
      </c>
      <c r="I30">
        <f t="shared" si="4"/>
        <v>0</v>
      </c>
    </row>
    <row r="31" spans="1:16" x14ac:dyDescent="0.25">
      <c r="A31">
        <v>2051</v>
      </c>
      <c r="B31">
        <f t="shared" si="5"/>
        <v>4743</v>
      </c>
      <c r="C31">
        <f t="shared" si="5"/>
        <v>803</v>
      </c>
      <c r="D31">
        <f t="shared" si="5"/>
        <v>1590</v>
      </c>
      <c r="E31">
        <v>16</v>
      </c>
      <c r="F31" t="str">
        <f t="shared" si="2"/>
        <v/>
      </c>
      <c r="G31" t="str">
        <f>IF(Breakdown!L75&lt;&gt;"",Breakdown!L75,"")</f>
        <v/>
      </c>
      <c r="H31" t="str">
        <f t="shared" si="3"/>
        <v/>
      </c>
      <c r="I31">
        <f t="shared" si="4"/>
        <v>0</v>
      </c>
    </row>
    <row r="32" spans="1:16" x14ac:dyDescent="0.25">
      <c r="A32">
        <v>2052</v>
      </c>
      <c r="B32">
        <f t="shared" si="5"/>
        <v>4838</v>
      </c>
      <c r="C32">
        <f t="shared" si="5"/>
        <v>820</v>
      </c>
      <c r="D32">
        <f t="shared" si="5"/>
        <v>1622</v>
      </c>
      <c r="E32">
        <v>17</v>
      </c>
      <c r="F32" t="str">
        <f t="shared" si="2"/>
        <v/>
      </c>
      <c r="G32" t="str">
        <f>IF(Breakdown!L76&lt;&gt;"",Breakdown!L76,"")</f>
        <v/>
      </c>
      <c r="H32" t="str">
        <f t="shared" si="3"/>
        <v/>
      </c>
      <c r="I32">
        <f t="shared" si="4"/>
        <v>0</v>
      </c>
    </row>
    <row r="33" spans="1:9" x14ac:dyDescent="0.25">
      <c r="A33">
        <v>2053</v>
      </c>
      <c r="B33">
        <f t="shared" si="5"/>
        <v>4935</v>
      </c>
      <c r="C33">
        <f t="shared" si="5"/>
        <v>837</v>
      </c>
      <c r="D33">
        <f t="shared" si="5"/>
        <v>1655</v>
      </c>
      <c r="E33">
        <v>18</v>
      </c>
      <c r="F33" t="str">
        <f t="shared" si="2"/>
        <v/>
      </c>
      <c r="G33" t="str">
        <f>IF(Breakdown!L77&lt;&gt;"",Breakdown!L77,"")</f>
        <v/>
      </c>
      <c r="H33" t="str">
        <f t="shared" si="3"/>
        <v/>
      </c>
      <c r="I33">
        <f t="shared" si="4"/>
        <v>0</v>
      </c>
    </row>
    <row r="34" spans="1:9" x14ac:dyDescent="0.25">
      <c r="A34">
        <v>2054</v>
      </c>
      <c r="B34">
        <f t="shared" si="5"/>
        <v>5034</v>
      </c>
      <c r="C34">
        <f t="shared" si="5"/>
        <v>854</v>
      </c>
      <c r="D34">
        <f t="shared" si="5"/>
        <v>1689</v>
      </c>
      <c r="E34">
        <v>19</v>
      </c>
      <c r="F34" t="str">
        <f t="shared" si="2"/>
        <v/>
      </c>
      <c r="G34" t="str">
        <f>IF(Breakdown!L78&lt;&gt;"",Breakdown!L78,"")</f>
        <v/>
      </c>
      <c r="H34" t="str">
        <f t="shared" si="3"/>
        <v/>
      </c>
      <c r="I34">
        <f t="shared" si="4"/>
        <v>0</v>
      </c>
    </row>
    <row r="35" spans="1:9" x14ac:dyDescent="0.25">
      <c r="A35">
        <v>2055</v>
      </c>
      <c r="B35">
        <f t="shared" si="5"/>
        <v>5135</v>
      </c>
      <c r="C35">
        <f t="shared" si="5"/>
        <v>872</v>
      </c>
      <c r="D35">
        <f t="shared" si="5"/>
        <v>1723</v>
      </c>
      <c r="E35">
        <v>20</v>
      </c>
      <c r="F35" t="str">
        <f t="shared" si="2"/>
        <v/>
      </c>
      <c r="G35" t="str">
        <f>IF(Breakdown!L79&lt;&gt;"",Breakdown!L79,"")</f>
        <v/>
      </c>
      <c r="H35" t="str">
        <f t="shared" si="3"/>
        <v/>
      </c>
      <c r="I35">
        <f t="shared" si="4"/>
        <v>0</v>
      </c>
    </row>
    <row r="36" spans="1:9" x14ac:dyDescent="0.25">
      <c r="A36">
        <v>2056</v>
      </c>
      <c r="B36">
        <f t="shared" si="5"/>
        <v>5238</v>
      </c>
      <c r="C36">
        <f t="shared" si="5"/>
        <v>890</v>
      </c>
      <c r="D36">
        <f t="shared" si="5"/>
        <v>1758</v>
      </c>
      <c r="H36" s="72" cm="1">
        <f t="array" aca="1" ref="H36" ca="1">SUM(H16:H35)-LOOKUP(2,1/(H16:H35&lt;&gt;""),H16:H35)</f>
        <v>0</v>
      </c>
    </row>
    <row r="37" spans="1:9" x14ac:dyDescent="0.25">
      <c r="A37">
        <v>2057</v>
      </c>
      <c r="B37">
        <f t="shared" si="5"/>
        <v>5343</v>
      </c>
      <c r="C37">
        <f t="shared" si="5"/>
        <v>908</v>
      </c>
      <c r="D37">
        <f t="shared" si="5"/>
        <v>1794</v>
      </c>
    </row>
    <row r="38" spans="1:9" x14ac:dyDescent="0.25">
      <c r="A38">
        <v>2058</v>
      </c>
      <c r="B38">
        <f t="shared" si="5"/>
        <v>5450</v>
      </c>
      <c r="C38">
        <f t="shared" si="5"/>
        <v>927</v>
      </c>
      <c r="D38">
        <f t="shared" si="5"/>
        <v>1830</v>
      </c>
    </row>
    <row r="39" spans="1:9" x14ac:dyDescent="0.25">
      <c r="A39">
        <v>2059</v>
      </c>
      <c r="B39">
        <f t="shared" si="5"/>
        <v>5559</v>
      </c>
      <c r="C39">
        <f t="shared" si="5"/>
        <v>946</v>
      </c>
      <c r="D39">
        <f t="shared" si="5"/>
        <v>1867</v>
      </c>
      <c r="H39" s="83"/>
    </row>
    <row r="40" spans="1:9" x14ac:dyDescent="0.25">
      <c r="A40">
        <v>2060</v>
      </c>
      <c r="B40">
        <f t="shared" si="5"/>
        <v>5671</v>
      </c>
      <c r="C40">
        <f t="shared" si="5"/>
        <v>965</v>
      </c>
      <c r="D40">
        <f t="shared" si="5"/>
        <v>1905</v>
      </c>
    </row>
    <row r="41" spans="1:9" x14ac:dyDescent="0.25">
      <c r="A41">
        <v>2061</v>
      </c>
      <c r="B41">
        <f t="shared" si="5"/>
        <v>5785</v>
      </c>
      <c r="C41">
        <f t="shared" si="5"/>
        <v>985</v>
      </c>
      <c r="D41">
        <f t="shared" si="5"/>
        <v>1944</v>
      </c>
    </row>
    <row r="42" spans="1:9" x14ac:dyDescent="0.25">
      <c r="A42">
        <v>2062</v>
      </c>
      <c r="B42">
        <f t="shared" ref="B42:D57" si="6">ROUNDUP(B41*1.02,0)</f>
        <v>5901</v>
      </c>
      <c r="C42">
        <f t="shared" si="6"/>
        <v>1005</v>
      </c>
      <c r="D42">
        <f t="shared" si="6"/>
        <v>1983</v>
      </c>
    </row>
    <row r="43" spans="1:9" x14ac:dyDescent="0.25">
      <c r="A43">
        <v>2063</v>
      </c>
      <c r="B43">
        <f t="shared" si="6"/>
        <v>6020</v>
      </c>
      <c r="C43">
        <f t="shared" si="6"/>
        <v>1026</v>
      </c>
      <c r="D43">
        <f t="shared" si="6"/>
        <v>2023</v>
      </c>
    </row>
    <row r="44" spans="1:9" x14ac:dyDescent="0.25">
      <c r="A44">
        <v>2064</v>
      </c>
      <c r="B44">
        <f t="shared" si="6"/>
        <v>6141</v>
      </c>
      <c r="C44">
        <f t="shared" si="6"/>
        <v>1047</v>
      </c>
      <c r="D44">
        <f t="shared" si="6"/>
        <v>2064</v>
      </c>
    </row>
    <row r="45" spans="1:9" x14ac:dyDescent="0.25">
      <c r="A45">
        <v>2065</v>
      </c>
      <c r="B45">
        <f t="shared" si="6"/>
        <v>6264</v>
      </c>
      <c r="C45">
        <f t="shared" si="6"/>
        <v>1068</v>
      </c>
      <c r="D45">
        <f t="shared" si="6"/>
        <v>2106</v>
      </c>
    </row>
    <row r="46" spans="1:9" x14ac:dyDescent="0.25">
      <c r="A46">
        <v>2066</v>
      </c>
      <c r="B46">
        <f t="shared" si="6"/>
        <v>6390</v>
      </c>
      <c r="C46">
        <f t="shared" si="6"/>
        <v>1090</v>
      </c>
      <c r="D46">
        <f t="shared" si="6"/>
        <v>2149</v>
      </c>
    </row>
    <row r="47" spans="1:9" x14ac:dyDescent="0.25">
      <c r="A47">
        <v>2067</v>
      </c>
      <c r="B47">
        <f t="shared" si="6"/>
        <v>6518</v>
      </c>
      <c r="C47">
        <f t="shared" si="6"/>
        <v>1112</v>
      </c>
      <c r="D47">
        <f t="shared" si="6"/>
        <v>2192</v>
      </c>
    </row>
    <row r="48" spans="1:9" x14ac:dyDescent="0.25">
      <c r="A48">
        <v>2068</v>
      </c>
      <c r="B48">
        <f t="shared" si="6"/>
        <v>6649</v>
      </c>
      <c r="C48">
        <f t="shared" si="6"/>
        <v>1135</v>
      </c>
      <c r="D48">
        <f t="shared" si="6"/>
        <v>2236</v>
      </c>
    </row>
    <row r="49" spans="1:4" x14ac:dyDescent="0.25">
      <c r="A49">
        <v>2069</v>
      </c>
      <c r="B49">
        <f t="shared" si="6"/>
        <v>6782</v>
      </c>
      <c r="C49">
        <f t="shared" si="6"/>
        <v>1158</v>
      </c>
      <c r="D49">
        <f t="shared" si="6"/>
        <v>2281</v>
      </c>
    </row>
    <row r="50" spans="1:4" x14ac:dyDescent="0.25">
      <c r="A50">
        <v>2070</v>
      </c>
      <c r="B50">
        <f t="shared" si="6"/>
        <v>6918</v>
      </c>
      <c r="C50">
        <f t="shared" si="6"/>
        <v>1182</v>
      </c>
      <c r="D50">
        <f t="shared" si="6"/>
        <v>2327</v>
      </c>
    </row>
    <row r="51" spans="1:4" x14ac:dyDescent="0.25">
      <c r="A51">
        <v>2071</v>
      </c>
      <c r="B51">
        <f t="shared" si="6"/>
        <v>7057</v>
      </c>
      <c r="C51">
        <f t="shared" si="6"/>
        <v>1206</v>
      </c>
      <c r="D51">
        <f t="shared" si="6"/>
        <v>2374</v>
      </c>
    </row>
    <row r="52" spans="1:4" x14ac:dyDescent="0.25">
      <c r="A52">
        <v>2072</v>
      </c>
      <c r="B52">
        <f t="shared" si="6"/>
        <v>7199</v>
      </c>
      <c r="C52">
        <f t="shared" si="6"/>
        <v>1231</v>
      </c>
      <c r="D52">
        <f t="shared" si="6"/>
        <v>2422</v>
      </c>
    </row>
    <row r="53" spans="1:4" x14ac:dyDescent="0.25">
      <c r="A53">
        <v>2073</v>
      </c>
      <c r="B53">
        <f t="shared" si="6"/>
        <v>7343</v>
      </c>
      <c r="C53">
        <f t="shared" si="6"/>
        <v>1256</v>
      </c>
      <c r="D53">
        <f t="shared" si="6"/>
        <v>2471</v>
      </c>
    </row>
    <row r="54" spans="1:4" x14ac:dyDescent="0.25">
      <c r="A54">
        <v>2074</v>
      </c>
      <c r="B54">
        <f t="shared" si="6"/>
        <v>7490</v>
      </c>
      <c r="C54">
        <f t="shared" si="6"/>
        <v>1282</v>
      </c>
      <c r="D54">
        <f t="shared" si="6"/>
        <v>2521</v>
      </c>
    </row>
    <row r="55" spans="1:4" x14ac:dyDescent="0.25">
      <c r="A55">
        <v>2075</v>
      </c>
      <c r="B55">
        <f t="shared" si="6"/>
        <v>7640</v>
      </c>
      <c r="C55">
        <f t="shared" si="6"/>
        <v>1308</v>
      </c>
      <c r="D55">
        <f t="shared" si="6"/>
        <v>2572</v>
      </c>
    </row>
    <row r="56" spans="1:4" x14ac:dyDescent="0.25">
      <c r="A56">
        <v>2076</v>
      </c>
      <c r="B56">
        <f t="shared" si="6"/>
        <v>7793</v>
      </c>
      <c r="C56">
        <f t="shared" si="6"/>
        <v>1335</v>
      </c>
      <c r="D56">
        <f t="shared" si="6"/>
        <v>2624</v>
      </c>
    </row>
    <row r="57" spans="1:4" x14ac:dyDescent="0.25">
      <c r="A57">
        <v>2077</v>
      </c>
      <c r="B57">
        <f t="shared" si="6"/>
        <v>7949</v>
      </c>
      <c r="C57">
        <f t="shared" si="6"/>
        <v>1362</v>
      </c>
      <c r="D57">
        <f t="shared" si="6"/>
        <v>2677</v>
      </c>
    </row>
    <row r="58" spans="1:4" x14ac:dyDescent="0.25">
      <c r="A58">
        <v>2078</v>
      </c>
      <c r="B58">
        <f t="shared" ref="B58:D73" si="7">ROUNDUP(B57*1.02,0)</f>
        <v>8108</v>
      </c>
      <c r="C58">
        <f t="shared" si="7"/>
        <v>1390</v>
      </c>
      <c r="D58">
        <f t="shared" si="7"/>
        <v>2731</v>
      </c>
    </row>
    <row r="59" spans="1:4" x14ac:dyDescent="0.25">
      <c r="A59">
        <v>2079</v>
      </c>
      <c r="B59">
        <f t="shared" si="7"/>
        <v>8271</v>
      </c>
      <c r="C59">
        <f t="shared" si="7"/>
        <v>1418</v>
      </c>
      <c r="D59">
        <f t="shared" si="7"/>
        <v>2786</v>
      </c>
    </row>
    <row r="60" spans="1:4" x14ac:dyDescent="0.25">
      <c r="A60">
        <v>2080</v>
      </c>
      <c r="B60">
        <f t="shared" si="7"/>
        <v>8437</v>
      </c>
      <c r="C60">
        <f t="shared" si="7"/>
        <v>1447</v>
      </c>
      <c r="D60">
        <f t="shared" si="7"/>
        <v>2842</v>
      </c>
    </row>
    <row r="61" spans="1:4" x14ac:dyDescent="0.25">
      <c r="A61">
        <v>2081</v>
      </c>
      <c r="B61">
        <f t="shared" si="7"/>
        <v>8606</v>
      </c>
      <c r="C61">
        <f t="shared" si="7"/>
        <v>1476</v>
      </c>
      <c r="D61">
        <f t="shared" si="7"/>
        <v>2899</v>
      </c>
    </row>
    <row r="62" spans="1:4" x14ac:dyDescent="0.25">
      <c r="A62">
        <v>2082</v>
      </c>
      <c r="B62">
        <f t="shared" si="7"/>
        <v>8779</v>
      </c>
      <c r="C62">
        <f t="shared" si="7"/>
        <v>1506</v>
      </c>
      <c r="D62">
        <f t="shared" si="7"/>
        <v>2957</v>
      </c>
    </row>
    <row r="63" spans="1:4" x14ac:dyDescent="0.25">
      <c r="A63">
        <v>2083</v>
      </c>
      <c r="B63">
        <f t="shared" si="7"/>
        <v>8955</v>
      </c>
      <c r="C63">
        <f t="shared" si="7"/>
        <v>1537</v>
      </c>
      <c r="D63">
        <f t="shared" si="7"/>
        <v>3017</v>
      </c>
    </row>
    <row r="64" spans="1:4" x14ac:dyDescent="0.25">
      <c r="A64">
        <v>2084</v>
      </c>
      <c r="B64">
        <f t="shared" si="7"/>
        <v>9135</v>
      </c>
      <c r="C64">
        <f t="shared" si="7"/>
        <v>1568</v>
      </c>
      <c r="D64">
        <f t="shared" si="7"/>
        <v>3078</v>
      </c>
    </row>
    <row r="65" spans="1:4" x14ac:dyDescent="0.25">
      <c r="A65">
        <v>2085</v>
      </c>
      <c r="B65">
        <f t="shared" si="7"/>
        <v>9318</v>
      </c>
      <c r="C65">
        <f t="shared" si="7"/>
        <v>1600</v>
      </c>
      <c r="D65">
        <f t="shared" si="7"/>
        <v>3140</v>
      </c>
    </row>
    <row r="66" spans="1:4" x14ac:dyDescent="0.25">
      <c r="A66">
        <v>2086</v>
      </c>
      <c r="B66">
        <f t="shared" si="7"/>
        <v>9505</v>
      </c>
      <c r="C66">
        <f t="shared" si="7"/>
        <v>1632</v>
      </c>
      <c r="D66">
        <f t="shared" si="7"/>
        <v>3203</v>
      </c>
    </row>
    <row r="67" spans="1:4" x14ac:dyDescent="0.25">
      <c r="A67">
        <v>2087</v>
      </c>
      <c r="B67">
        <f t="shared" si="7"/>
        <v>9696</v>
      </c>
      <c r="C67">
        <f t="shared" si="7"/>
        <v>1665</v>
      </c>
      <c r="D67">
        <f t="shared" si="7"/>
        <v>3268</v>
      </c>
    </row>
    <row r="68" spans="1:4" x14ac:dyDescent="0.25">
      <c r="A68">
        <v>2088</v>
      </c>
      <c r="B68">
        <f t="shared" si="7"/>
        <v>9890</v>
      </c>
      <c r="C68">
        <f t="shared" si="7"/>
        <v>1699</v>
      </c>
      <c r="D68">
        <f t="shared" si="7"/>
        <v>3334</v>
      </c>
    </row>
    <row r="69" spans="1:4" x14ac:dyDescent="0.25">
      <c r="A69">
        <v>2089</v>
      </c>
      <c r="B69">
        <f t="shared" si="7"/>
        <v>10088</v>
      </c>
      <c r="C69">
        <f t="shared" si="7"/>
        <v>1733</v>
      </c>
      <c r="D69">
        <f t="shared" si="7"/>
        <v>3401</v>
      </c>
    </row>
    <row r="70" spans="1:4" x14ac:dyDescent="0.25">
      <c r="A70">
        <v>2090</v>
      </c>
      <c r="B70">
        <f t="shared" si="7"/>
        <v>10290</v>
      </c>
      <c r="C70">
        <f t="shared" si="7"/>
        <v>1768</v>
      </c>
      <c r="D70">
        <f t="shared" si="7"/>
        <v>3470</v>
      </c>
    </row>
    <row r="71" spans="1:4" x14ac:dyDescent="0.25">
      <c r="A71">
        <v>2091</v>
      </c>
      <c r="B71">
        <f t="shared" si="7"/>
        <v>10496</v>
      </c>
      <c r="C71">
        <f t="shared" si="7"/>
        <v>1804</v>
      </c>
      <c r="D71">
        <f t="shared" si="7"/>
        <v>3540</v>
      </c>
    </row>
    <row r="72" spans="1:4" x14ac:dyDescent="0.25">
      <c r="A72">
        <v>2092</v>
      </c>
      <c r="B72">
        <f t="shared" si="7"/>
        <v>10706</v>
      </c>
      <c r="C72">
        <f t="shared" si="7"/>
        <v>1841</v>
      </c>
      <c r="D72">
        <f t="shared" si="7"/>
        <v>3611</v>
      </c>
    </row>
    <row r="73" spans="1:4" x14ac:dyDescent="0.25">
      <c r="A73">
        <v>2093</v>
      </c>
      <c r="B73">
        <f t="shared" si="7"/>
        <v>10921</v>
      </c>
      <c r="C73">
        <f t="shared" si="7"/>
        <v>1878</v>
      </c>
      <c r="D73">
        <f t="shared" si="7"/>
        <v>3684</v>
      </c>
    </row>
    <row r="74" spans="1:4" x14ac:dyDescent="0.25">
      <c r="A74">
        <v>2094</v>
      </c>
      <c r="B74">
        <f t="shared" ref="B74:D89" si="8">ROUNDUP(B73*1.02,0)</f>
        <v>11140</v>
      </c>
      <c r="C74">
        <f t="shared" si="8"/>
        <v>1916</v>
      </c>
      <c r="D74">
        <f t="shared" si="8"/>
        <v>3758</v>
      </c>
    </row>
    <row r="75" spans="1:4" x14ac:dyDescent="0.25">
      <c r="A75">
        <v>2095</v>
      </c>
      <c r="B75">
        <f t="shared" si="8"/>
        <v>11363</v>
      </c>
      <c r="C75">
        <f t="shared" si="8"/>
        <v>1955</v>
      </c>
      <c r="D75">
        <f t="shared" si="8"/>
        <v>3834</v>
      </c>
    </row>
    <row r="76" spans="1:4" x14ac:dyDescent="0.25">
      <c r="A76">
        <v>2096</v>
      </c>
      <c r="B76">
        <f t="shared" si="8"/>
        <v>11591</v>
      </c>
      <c r="C76">
        <f t="shared" si="8"/>
        <v>1995</v>
      </c>
      <c r="D76">
        <f t="shared" si="8"/>
        <v>3911</v>
      </c>
    </row>
    <row r="77" spans="1:4" x14ac:dyDescent="0.25">
      <c r="A77">
        <v>2097</v>
      </c>
      <c r="B77">
        <f t="shared" si="8"/>
        <v>11823</v>
      </c>
      <c r="C77">
        <f t="shared" si="8"/>
        <v>2035</v>
      </c>
      <c r="D77">
        <f t="shared" si="8"/>
        <v>3990</v>
      </c>
    </row>
    <row r="78" spans="1:4" x14ac:dyDescent="0.25">
      <c r="A78">
        <v>2098</v>
      </c>
      <c r="B78">
        <f t="shared" si="8"/>
        <v>12060</v>
      </c>
      <c r="C78">
        <f t="shared" si="8"/>
        <v>2076</v>
      </c>
      <c r="D78">
        <f t="shared" si="8"/>
        <v>4070</v>
      </c>
    </row>
    <row r="79" spans="1:4" x14ac:dyDescent="0.25">
      <c r="A79">
        <v>2099</v>
      </c>
      <c r="B79">
        <f t="shared" si="8"/>
        <v>12302</v>
      </c>
      <c r="C79">
        <f t="shared" si="8"/>
        <v>2118</v>
      </c>
      <c r="D79">
        <f t="shared" si="8"/>
        <v>4152</v>
      </c>
    </row>
    <row r="80" spans="1:4" x14ac:dyDescent="0.25">
      <c r="A80">
        <v>2100</v>
      </c>
      <c r="B80">
        <f t="shared" si="8"/>
        <v>12549</v>
      </c>
      <c r="C80">
        <f t="shared" si="8"/>
        <v>2161</v>
      </c>
      <c r="D80">
        <f t="shared" si="8"/>
        <v>4236</v>
      </c>
    </row>
    <row r="81" spans="1:4" x14ac:dyDescent="0.25">
      <c r="A81">
        <v>2101</v>
      </c>
      <c r="B81">
        <f t="shared" si="8"/>
        <v>12800</v>
      </c>
      <c r="C81">
        <f t="shared" si="8"/>
        <v>2205</v>
      </c>
      <c r="D81">
        <f t="shared" si="8"/>
        <v>4321</v>
      </c>
    </row>
    <row r="82" spans="1:4" x14ac:dyDescent="0.25">
      <c r="A82">
        <v>2102</v>
      </c>
      <c r="B82">
        <f t="shared" si="8"/>
        <v>13056</v>
      </c>
      <c r="C82">
        <f t="shared" si="8"/>
        <v>2250</v>
      </c>
      <c r="D82">
        <f t="shared" si="8"/>
        <v>4408</v>
      </c>
    </row>
    <row r="83" spans="1:4" x14ac:dyDescent="0.25">
      <c r="A83">
        <v>2103</v>
      </c>
      <c r="B83">
        <f t="shared" si="8"/>
        <v>13318</v>
      </c>
      <c r="C83">
        <f t="shared" si="8"/>
        <v>2295</v>
      </c>
      <c r="D83">
        <f t="shared" si="8"/>
        <v>4497</v>
      </c>
    </row>
    <row r="84" spans="1:4" x14ac:dyDescent="0.25">
      <c r="A84">
        <v>2104</v>
      </c>
      <c r="B84">
        <f t="shared" si="8"/>
        <v>13585</v>
      </c>
      <c r="C84">
        <f t="shared" si="8"/>
        <v>2341</v>
      </c>
      <c r="D84">
        <f t="shared" si="8"/>
        <v>4587</v>
      </c>
    </row>
    <row r="85" spans="1:4" x14ac:dyDescent="0.25">
      <c r="A85">
        <v>2105</v>
      </c>
      <c r="B85">
        <f t="shared" si="8"/>
        <v>13857</v>
      </c>
      <c r="C85">
        <f t="shared" si="8"/>
        <v>2388</v>
      </c>
      <c r="D85">
        <f t="shared" si="8"/>
        <v>4679</v>
      </c>
    </row>
    <row r="86" spans="1:4" x14ac:dyDescent="0.25">
      <c r="A86">
        <v>2106</v>
      </c>
      <c r="B86">
        <f t="shared" si="8"/>
        <v>14135</v>
      </c>
      <c r="C86">
        <f t="shared" si="8"/>
        <v>2436</v>
      </c>
      <c r="D86">
        <f t="shared" si="8"/>
        <v>4773</v>
      </c>
    </row>
    <row r="87" spans="1:4" x14ac:dyDescent="0.25">
      <c r="A87">
        <v>2107</v>
      </c>
      <c r="B87">
        <f t="shared" si="8"/>
        <v>14418</v>
      </c>
      <c r="C87">
        <f t="shared" si="8"/>
        <v>2485</v>
      </c>
      <c r="D87">
        <f t="shared" si="8"/>
        <v>4869</v>
      </c>
    </row>
    <row r="88" spans="1:4" x14ac:dyDescent="0.25">
      <c r="A88">
        <v>2108</v>
      </c>
      <c r="B88">
        <f t="shared" si="8"/>
        <v>14707</v>
      </c>
      <c r="C88">
        <f t="shared" si="8"/>
        <v>2535</v>
      </c>
      <c r="D88">
        <f t="shared" si="8"/>
        <v>4967</v>
      </c>
    </row>
    <row r="89" spans="1:4" x14ac:dyDescent="0.25">
      <c r="A89">
        <v>2109</v>
      </c>
      <c r="B89">
        <f t="shared" si="8"/>
        <v>15002</v>
      </c>
      <c r="C89">
        <f t="shared" si="8"/>
        <v>2586</v>
      </c>
      <c r="D89">
        <f t="shared" si="8"/>
        <v>5067</v>
      </c>
    </row>
    <row r="90" spans="1:4" x14ac:dyDescent="0.25">
      <c r="A90">
        <v>2110</v>
      </c>
      <c r="B90">
        <f t="shared" ref="B90:D100" si="9">ROUNDUP(B89*1.02,0)</f>
        <v>15303</v>
      </c>
      <c r="C90">
        <f t="shared" si="9"/>
        <v>2638</v>
      </c>
      <c r="D90">
        <f t="shared" si="9"/>
        <v>5169</v>
      </c>
    </row>
    <row r="91" spans="1:4" x14ac:dyDescent="0.25">
      <c r="A91">
        <v>2111</v>
      </c>
      <c r="B91">
        <f t="shared" si="9"/>
        <v>15610</v>
      </c>
      <c r="C91">
        <f t="shared" si="9"/>
        <v>2691</v>
      </c>
      <c r="D91">
        <f t="shared" si="9"/>
        <v>5273</v>
      </c>
    </row>
    <row r="92" spans="1:4" x14ac:dyDescent="0.25">
      <c r="A92">
        <v>2112</v>
      </c>
      <c r="B92">
        <f t="shared" si="9"/>
        <v>15923</v>
      </c>
      <c r="C92">
        <f t="shared" si="9"/>
        <v>2745</v>
      </c>
      <c r="D92">
        <f t="shared" si="9"/>
        <v>5379</v>
      </c>
    </row>
    <row r="93" spans="1:4" x14ac:dyDescent="0.25">
      <c r="A93">
        <v>2113</v>
      </c>
      <c r="B93">
        <f t="shared" si="9"/>
        <v>16242</v>
      </c>
      <c r="C93">
        <f t="shared" si="9"/>
        <v>2800</v>
      </c>
      <c r="D93">
        <f t="shared" si="9"/>
        <v>5487</v>
      </c>
    </row>
    <row r="94" spans="1:4" x14ac:dyDescent="0.25">
      <c r="A94">
        <v>2114</v>
      </c>
      <c r="B94">
        <f t="shared" si="9"/>
        <v>16567</v>
      </c>
      <c r="C94">
        <f t="shared" si="9"/>
        <v>2856</v>
      </c>
      <c r="D94">
        <f t="shared" si="9"/>
        <v>5597</v>
      </c>
    </row>
    <row r="95" spans="1:4" x14ac:dyDescent="0.25">
      <c r="A95">
        <v>2115</v>
      </c>
      <c r="B95">
        <f t="shared" si="9"/>
        <v>16899</v>
      </c>
      <c r="C95">
        <f t="shared" si="9"/>
        <v>2914</v>
      </c>
      <c r="D95">
        <f t="shared" si="9"/>
        <v>5709</v>
      </c>
    </row>
    <row r="96" spans="1:4" x14ac:dyDescent="0.25">
      <c r="A96">
        <v>2116</v>
      </c>
      <c r="B96">
        <f t="shared" si="9"/>
        <v>17237</v>
      </c>
      <c r="C96">
        <f t="shared" si="9"/>
        <v>2973</v>
      </c>
      <c r="D96">
        <f t="shared" si="9"/>
        <v>5824</v>
      </c>
    </row>
    <row r="97" spans="1:4" x14ac:dyDescent="0.25">
      <c r="A97">
        <v>2117</v>
      </c>
      <c r="B97">
        <f t="shared" si="9"/>
        <v>17582</v>
      </c>
      <c r="C97">
        <f t="shared" si="9"/>
        <v>3033</v>
      </c>
      <c r="D97">
        <f t="shared" si="9"/>
        <v>5941</v>
      </c>
    </row>
    <row r="98" spans="1:4" x14ac:dyDescent="0.25">
      <c r="A98">
        <v>2118</v>
      </c>
      <c r="B98">
        <f t="shared" si="9"/>
        <v>17934</v>
      </c>
      <c r="C98">
        <f t="shared" si="9"/>
        <v>3094</v>
      </c>
      <c r="D98">
        <f t="shared" si="9"/>
        <v>6060</v>
      </c>
    </row>
    <row r="99" spans="1:4" x14ac:dyDescent="0.25">
      <c r="A99">
        <v>2119</v>
      </c>
      <c r="B99">
        <f t="shared" si="9"/>
        <v>18293</v>
      </c>
      <c r="C99">
        <f t="shared" si="9"/>
        <v>3156</v>
      </c>
      <c r="D99">
        <f t="shared" si="9"/>
        <v>6182</v>
      </c>
    </row>
    <row r="100" spans="1:4" x14ac:dyDescent="0.25">
      <c r="A100">
        <v>2120</v>
      </c>
      <c r="B100">
        <f t="shared" si="9"/>
        <v>18659</v>
      </c>
      <c r="C100">
        <f t="shared" si="9"/>
        <v>3220</v>
      </c>
      <c r="D100">
        <f t="shared" si="9"/>
        <v>6306</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F27D5-4911-4506-96FA-5F4AC68C42AE}">
  <dimension ref="A1:D8"/>
  <sheetViews>
    <sheetView workbookViewId="0">
      <selection activeCell="D28" sqref="D28"/>
    </sheetView>
  </sheetViews>
  <sheetFormatPr defaultRowHeight="15" x14ac:dyDescent="0.25"/>
  <cols>
    <col min="1" max="1" width="27.42578125" bestFit="1" customWidth="1"/>
    <col min="4" max="4" width="89.140625" bestFit="1" customWidth="1"/>
  </cols>
  <sheetData>
    <row r="1" spans="1:4" x14ac:dyDescent="0.25">
      <c r="B1" t="s">
        <v>36</v>
      </c>
      <c r="C1" t="s">
        <v>37</v>
      </c>
      <c r="D1" t="s">
        <v>38</v>
      </c>
    </row>
    <row r="2" spans="1:4" x14ac:dyDescent="0.25">
      <c r="A2" t="s">
        <v>32</v>
      </c>
      <c r="B2" s="18">
        <v>44805</v>
      </c>
      <c r="C2" t="s">
        <v>33</v>
      </c>
    </row>
    <row r="3" spans="1:4" x14ac:dyDescent="0.25">
      <c r="A3" t="s">
        <v>35</v>
      </c>
      <c r="B3" s="18">
        <v>44986</v>
      </c>
      <c r="C3" t="s">
        <v>34</v>
      </c>
      <c r="D3" t="s">
        <v>46</v>
      </c>
    </row>
    <row r="4" spans="1:4" x14ac:dyDescent="0.25">
      <c r="A4" t="s">
        <v>40</v>
      </c>
      <c r="B4" s="18">
        <v>45200</v>
      </c>
      <c r="C4" t="s">
        <v>39</v>
      </c>
      <c r="D4" t="s">
        <v>55</v>
      </c>
    </row>
    <row r="5" spans="1:4" x14ac:dyDescent="0.25">
      <c r="A5" t="s">
        <v>56</v>
      </c>
      <c r="B5" s="18">
        <v>45536</v>
      </c>
      <c r="C5" t="s">
        <v>57</v>
      </c>
      <c r="D5" t="s">
        <v>58</v>
      </c>
    </row>
    <row r="6" spans="1:4" x14ac:dyDescent="0.25">
      <c r="A6" t="s">
        <v>103</v>
      </c>
      <c r="B6" s="18">
        <v>45566</v>
      </c>
      <c r="C6" t="s">
        <v>102</v>
      </c>
      <c r="D6" t="s">
        <v>104</v>
      </c>
    </row>
    <row r="7" spans="1:4" x14ac:dyDescent="0.25">
      <c r="A7" t="s">
        <v>109</v>
      </c>
      <c r="B7" s="18">
        <v>45992</v>
      </c>
      <c r="C7" t="s">
        <v>110</v>
      </c>
      <c r="D7" t="s">
        <v>111</v>
      </c>
    </row>
    <row r="8" spans="1:4" x14ac:dyDescent="0.25">
      <c r="A8" t="s">
        <v>115</v>
      </c>
      <c r="B8" s="18">
        <v>46023</v>
      </c>
      <c r="C8" t="s">
        <v>116</v>
      </c>
      <c r="D8" t="s">
        <v>117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29493e11-43b2-444c-9949-93e4e79e13ca" origin="userSelected">
  <element uid="id_classification_generalbusiness" value=""/>
  <element uid="d594d16e-bd72-4a7a-b554-fc74cdefcaf9" value=""/>
</sisl>
</file>

<file path=customXml/itemProps1.xml><?xml version="1.0" encoding="utf-8"?>
<ds:datastoreItem xmlns:ds="http://schemas.openxmlformats.org/officeDocument/2006/customXml" ds:itemID="{B2FBB82A-A8CD-4DCC-8F6C-D9D584863183}">
  <ds:schemaRefs>
    <ds:schemaRef ds:uri="http://purl.org/dc/terms/"/>
    <ds:schemaRef ds:uri="http://purl.org/dc/dcmitype/"/>
    <ds:schemaRef ds:uri="http://schemas.openxmlformats.org/package/2006/metadata/core-properties"/>
    <ds:schemaRef ds:uri="http://www.w3.org/XML/1998/namespace"/>
    <ds:schemaRef ds:uri="http://schemas.microsoft.com/office/2006/documentManagement/types"/>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6F02A2FC-0E6B-445A-A1F6-0207BEE8B993}">
  <ds:schemaRefs>
    <ds:schemaRef ds:uri="http://schemas.microsoft.com/sharepoint/v3/contenttype/forms"/>
  </ds:schemaRefs>
</ds:datastoreItem>
</file>

<file path=customXml/itemProps3.xml><?xml version="1.0" encoding="utf-8"?>
<ds:datastoreItem xmlns:ds="http://schemas.openxmlformats.org/officeDocument/2006/customXml" ds:itemID="{A7F35713-C9D7-4460-B783-01C5430DF0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45389CE7-B7AA-4230-AD33-211C55D57A1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60</vt:i4>
      </vt:variant>
    </vt:vector>
  </HeadingPairs>
  <TitlesOfParts>
    <vt:vector size="64" baseType="lpstr">
      <vt:lpstr>Input</vt:lpstr>
      <vt:lpstr>Breakdown</vt:lpstr>
      <vt:lpstr>Allowances</vt:lpstr>
      <vt:lpstr>Control sheet</vt:lpstr>
      <vt:lpstr>AEA_used</vt:lpstr>
      <vt:lpstr>Allowance_used</vt:lpstr>
      <vt:lpstr>Cap_return</vt:lpstr>
      <vt:lpstr>CGT_used</vt:lpstr>
      <vt:lpstr>CGT_Y_N</vt:lpstr>
      <vt:lpstr>Collective_clsg</vt:lpstr>
      <vt:lpstr>Collective_final_yr_AEA</vt:lpstr>
      <vt:lpstr>Collective_final_yr_gain_realised</vt:lpstr>
      <vt:lpstr>Collective_finalyr_gain</vt:lpstr>
      <vt:lpstr>Collective_total_tax</vt:lpstr>
      <vt:lpstr>Collective_total_withs</vt:lpstr>
      <vt:lpstr>Current_CGT</vt:lpstr>
      <vt:lpstr>Current_Div</vt:lpstr>
      <vt:lpstr>Current_IT</vt:lpstr>
      <vt:lpstr>Current_tax</vt:lpstr>
      <vt:lpstr>Current_tax_yr</vt:lpstr>
      <vt:lpstr>Div_return</vt:lpstr>
      <vt:lpstr>Div_used</vt:lpstr>
      <vt:lpstr>Expected_CGT</vt:lpstr>
      <vt:lpstr>Expected_div</vt:lpstr>
      <vt:lpstr>Expected_IT</vt:lpstr>
      <vt:lpstr>Expected_tax</vt:lpstr>
      <vt:lpstr>Future_exp_IT</vt:lpstr>
      <vt:lpstr>Future_IT</vt:lpstr>
      <vt:lpstr>Future_life_co_rate</vt:lpstr>
      <vt:lpstr>initial_investment</vt:lpstr>
      <vt:lpstr>Int_return</vt:lpstr>
      <vt:lpstr>IT_2027</vt:lpstr>
      <vt:lpstr>ITAR_27</vt:lpstr>
      <vt:lpstr>ITHR_2027</vt:lpstr>
      <vt:lpstr>Lifeco_div</vt:lpstr>
      <vt:lpstr>Lifeco_rate</vt:lpstr>
      <vt:lpstr>off_rate</vt:lpstr>
      <vt:lpstr>offbond_clsg</vt:lpstr>
      <vt:lpstr>Offbond_total_tax</vt:lpstr>
      <vt:lpstr>offbond_with_tax</vt:lpstr>
      <vt:lpstr>offbond_withs</vt:lpstr>
      <vt:lpstr>offshore_gain</vt:lpstr>
      <vt:lpstr>Onbond_AR</vt:lpstr>
      <vt:lpstr>onbond_clsg</vt:lpstr>
      <vt:lpstr>Onbond_HR</vt:lpstr>
      <vt:lpstr>Onbond_Non_BR</vt:lpstr>
      <vt:lpstr>Onbond_total_tax</vt:lpstr>
      <vt:lpstr>onbond_total_withs</vt:lpstr>
      <vt:lpstr>Onbond_with_tax</vt:lpstr>
      <vt:lpstr>onshore_gain</vt:lpstr>
      <vt:lpstr>Breakdown!Print_Area</vt:lpstr>
      <vt:lpstr>Input!Print_Area</vt:lpstr>
      <vt:lpstr>PSA_final_yr</vt:lpstr>
      <vt:lpstr>PSA_used</vt:lpstr>
      <vt:lpstr>Starting_rate</vt:lpstr>
      <vt:lpstr>tapered_PA</vt:lpstr>
      <vt:lpstr>TAX_lookup</vt:lpstr>
      <vt:lpstr>Term</vt:lpstr>
      <vt:lpstr>Tobe_lookup</vt:lpstr>
      <vt:lpstr>Total_annual_return</vt:lpstr>
      <vt:lpstr>Total_excess</vt:lpstr>
      <vt:lpstr>Type_TP</vt:lpstr>
      <vt:lpstr>With_perc</vt:lpstr>
      <vt:lpstr>Withdrawal_amnt</vt:lpstr>
    </vt:vector>
  </TitlesOfParts>
  <Company>Old Mutual Wealth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Moore, Shaun</dc:creator>
  <cp:lastModifiedBy>Moore, Shaun</cp:lastModifiedBy>
  <cp:lastPrinted>2024-08-29T15:05:39Z</cp:lastPrinted>
  <dcterms:created xsi:type="dcterms:W3CDTF">2016-06-24T15:29:04Z</dcterms:created>
  <dcterms:modified xsi:type="dcterms:W3CDTF">2026-01-20T14:16:22Z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4da61e94-c206-4ae5-a73e-d68890a85e64</vt:lpwstr>
  </property>
  <property fmtid="{D5CDD505-2E9C-101B-9397-08002B2CF9AE}" pid="3" name="bjSaver">
    <vt:lpwstr>4rFabTb/9uU2x7324BdMaCzo80emPV7i</vt:lpwstr>
  </property>
  <property fmtid="{D5CDD505-2E9C-101B-9397-08002B2CF9AE}" pid="4" name="bjDocumentSecurityLabel">
    <vt:lpwstr>INTERNAL</vt:lpwstr>
  </property>
  <property fmtid="{D5CDD505-2E9C-101B-9397-08002B2CF9AE}" pid="5" name="bjCentreFooterLabel">
    <vt:lpwstr>&amp;"Arial,Regular"&amp;10&amp;K000000INTERNAL USE ONLY</vt:lpwstr>
  </property>
  <property fmtid="{D5CDD505-2E9C-101B-9397-08002B2CF9AE}" pid="6" name="bjDocumentLabelXML">
    <vt:lpwstr>&lt;?xml version="1.0" encoding="us-ascii"?&gt;&lt;sisl xmlns:xsi="http://www.w3.org/2001/XMLSchema-instance" xmlns:xsd="http://www.w3.org/2001/XMLSchema" sislVersion="0" policy="29493e11-43b2-444c-9949-93e4e79e13ca" origin="userSelected" xmlns="http://www.boldonj</vt:lpwstr>
  </property>
  <property fmtid="{D5CDD505-2E9C-101B-9397-08002B2CF9AE}" pid="7" name="bjDocumentLabelXML-0">
    <vt:lpwstr>ames.com/2008/01/sie/internal/label"&gt;&lt;element uid="id_classification_generalbusiness" value="" /&gt;&lt;element uid="d594d16e-bd72-4a7a-b554-fc74cdefcaf9" value="" /&gt;&lt;/sisl&gt;</vt:lpwstr>
  </property>
  <property fmtid="{D5CDD505-2E9C-101B-9397-08002B2CF9AE}" pid="8" name="MSIP_Label_6c98d367-e486-496c-b15f-fe4920252c73_Enabled">
    <vt:lpwstr>true</vt:lpwstr>
  </property>
  <property fmtid="{D5CDD505-2E9C-101B-9397-08002B2CF9AE}" pid="9" name="MSIP_Label_6c98d367-e486-496c-b15f-fe4920252c73_SetDate">
    <vt:lpwstr>2022-09-16T12:30:13Z</vt:lpwstr>
  </property>
  <property fmtid="{D5CDD505-2E9C-101B-9397-08002B2CF9AE}" pid="10" name="MSIP_Label_6c98d367-e486-496c-b15f-fe4920252c73_Method">
    <vt:lpwstr>Privileged</vt:lpwstr>
  </property>
  <property fmtid="{D5CDD505-2E9C-101B-9397-08002B2CF9AE}" pid="11" name="MSIP_Label_6c98d367-e486-496c-b15f-fe4920252c73_Name">
    <vt:lpwstr>6c98d367-e486-496c-b15f-fe4920252c73</vt:lpwstr>
  </property>
  <property fmtid="{D5CDD505-2E9C-101B-9397-08002B2CF9AE}" pid="12" name="MSIP_Label_6c98d367-e486-496c-b15f-fe4920252c73_SiteId">
    <vt:lpwstr>0c5bd621-4db2-45d4-92c6-94708f93fa6e</vt:lpwstr>
  </property>
  <property fmtid="{D5CDD505-2E9C-101B-9397-08002B2CF9AE}" pid="13" name="MSIP_Label_6c98d367-e486-496c-b15f-fe4920252c73_ActionId">
    <vt:lpwstr>9d5a3977-f23a-46d1-8ee5-d3c095c7d828</vt:lpwstr>
  </property>
  <property fmtid="{D5CDD505-2E9C-101B-9397-08002B2CF9AE}" pid="14" name="MSIP_Label_6c98d367-e486-496c-b15f-fe4920252c73_ContentBits">
    <vt:lpwstr>0</vt:lpwstr>
  </property>
</Properties>
</file>